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450" tabRatio="859"/>
  </bookViews>
  <sheets>
    <sheet name="20ти-ок" sheetId="88" r:id="rId1"/>
  </sheets>
  <definedNames>
    <definedName name="_xlnm.Print_Titles" localSheetId="0">'20ти-ок'!$7:$9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4" i="88" l="1"/>
  <c r="E71" i="88"/>
  <c r="E11" i="88"/>
  <c r="E128" i="88" l="1"/>
  <c r="E129" i="88"/>
  <c r="E167" i="88" l="1"/>
  <c r="G160" i="88"/>
  <c r="F160" i="88"/>
  <c r="D160" i="88"/>
  <c r="E160" i="88"/>
  <c r="C143" i="88"/>
  <c r="C160" i="88" s="1"/>
  <c r="C167" i="88" l="1"/>
  <c r="E166" i="88"/>
  <c r="C166" i="88"/>
  <c r="G165" i="88"/>
  <c r="C165" i="88"/>
  <c r="C164" i="88"/>
  <c r="C163" i="88" s="1"/>
  <c r="G163" i="88"/>
  <c r="F163" i="88"/>
  <c r="E163" i="88"/>
  <c r="D163" i="88"/>
  <c r="E162" i="88"/>
  <c r="D162" i="88"/>
  <c r="C162" i="88"/>
  <c r="C161" i="88"/>
  <c r="C159" i="88"/>
  <c r="C158" i="88"/>
  <c r="C157" i="88"/>
  <c r="C156" i="88"/>
  <c r="C155" i="88"/>
  <c r="C154" i="88"/>
  <c r="C153" i="88" s="1"/>
  <c r="G153" i="88"/>
  <c r="F153" i="88"/>
  <c r="E153" i="88"/>
  <c r="D153" i="88"/>
  <c r="C152" i="88"/>
  <c r="E151" i="88"/>
  <c r="C151" i="88"/>
  <c r="E150" i="88"/>
  <c r="C150" i="88"/>
  <c r="C149" i="88"/>
  <c r="E148" i="88"/>
  <c r="C148" i="88" s="1"/>
  <c r="C147" i="88" s="1"/>
  <c r="G147" i="88"/>
  <c r="F147" i="88"/>
  <c r="E147" i="88"/>
  <c r="D147" i="88"/>
  <c r="C146" i="88"/>
  <c r="C145" i="88"/>
  <c r="E144" i="88"/>
  <c r="C144" i="88"/>
  <c r="G142" i="88"/>
  <c r="C142" i="88"/>
  <c r="E139" i="88"/>
  <c r="C139" i="88" s="1"/>
  <c r="C138" i="88"/>
  <c r="C137" i="88"/>
  <c r="E136" i="88"/>
  <c r="C136" i="88" s="1"/>
  <c r="C135" i="88"/>
  <c r="E134" i="88"/>
  <c r="C134" i="88"/>
  <c r="E133" i="88"/>
  <c r="C133" i="88"/>
  <c r="G132" i="88"/>
  <c r="F132" i="88"/>
  <c r="D132" i="88"/>
  <c r="C131" i="88"/>
  <c r="E130" i="88"/>
  <c r="C130" i="88"/>
  <c r="C129" i="88"/>
  <c r="C128" i="88"/>
  <c r="C127" i="88" s="1"/>
  <c r="G127" i="88"/>
  <c r="G140" i="88" s="1"/>
  <c r="F127" i="88"/>
  <c r="F140" i="88" s="1"/>
  <c r="E127" i="88"/>
  <c r="D127" i="88"/>
  <c r="D140" i="88" s="1"/>
  <c r="G125" i="88"/>
  <c r="C123" i="88"/>
  <c r="E122" i="88"/>
  <c r="C122" i="88" s="1"/>
  <c r="E124" i="88" s="1"/>
  <c r="C124" i="88" s="1"/>
  <c r="E121" i="88"/>
  <c r="C121" i="88" s="1"/>
  <c r="C120" i="88"/>
  <c r="E119" i="88"/>
  <c r="C119" i="88"/>
  <c r="E118" i="88"/>
  <c r="C118" i="88"/>
  <c r="C117" i="88"/>
  <c r="C116" i="88"/>
  <c r="C115" i="88"/>
  <c r="C114" i="88"/>
  <c r="E113" i="88"/>
  <c r="C113" i="88"/>
  <c r="G112" i="88"/>
  <c r="F112" i="88"/>
  <c r="E112" i="88"/>
  <c r="D112" i="88"/>
  <c r="C112" i="88" s="1"/>
  <c r="C111" i="88"/>
  <c r="E110" i="88"/>
  <c r="C110" i="88"/>
  <c r="G109" i="88"/>
  <c r="C109" i="88"/>
  <c r="G108" i="88"/>
  <c r="E108" i="88"/>
  <c r="C108" i="88" s="1"/>
  <c r="C107" i="88"/>
  <c r="C106" i="88"/>
  <c r="C105" i="88"/>
  <c r="C104" i="88"/>
  <c r="C103" i="88"/>
  <c r="E102" i="88"/>
  <c r="C102" i="88"/>
  <c r="C101" i="88" s="1"/>
  <c r="G101" i="88"/>
  <c r="F101" i="88"/>
  <c r="F125" i="88" s="1"/>
  <c r="E101" i="88"/>
  <c r="D101" i="88"/>
  <c r="D125" i="88" s="1"/>
  <c r="C100" i="88"/>
  <c r="G97" i="88"/>
  <c r="F97" i="88"/>
  <c r="D97" i="88"/>
  <c r="C96" i="88"/>
  <c r="C95" i="88"/>
  <c r="C94" i="88"/>
  <c r="C93" i="88"/>
  <c r="C92" i="88"/>
  <c r="E91" i="88"/>
  <c r="E97" i="88" s="1"/>
  <c r="C91" i="88"/>
  <c r="F89" i="88"/>
  <c r="D89" i="88"/>
  <c r="E88" i="88"/>
  <c r="C88" i="88" s="1"/>
  <c r="E87" i="88"/>
  <c r="C87" i="88" s="1"/>
  <c r="E86" i="88"/>
  <c r="C86" i="88" s="1"/>
  <c r="C85" i="88"/>
  <c r="C84" i="88"/>
  <c r="G83" i="88"/>
  <c r="G89" i="88" s="1"/>
  <c r="F83" i="88"/>
  <c r="E83" i="88"/>
  <c r="E89" i="88" s="1"/>
  <c r="D83" i="88"/>
  <c r="C83" i="88"/>
  <c r="C82" i="88"/>
  <c r="C81" i="88"/>
  <c r="C80" i="88"/>
  <c r="C79" i="88"/>
  <c r="G77" i="88"/>
  <c r="F77" i="88"/>
  <c r="D77" i="88"/>
  <c r="C76" i="88"/>
  <c r="C75" i="88"/>
  <c r="C74" i="88"/>
  <c r="C73" i="88"/>
  <c r="E72" i="88"/>
  <c r="C72" i="88" s="1"/>
  <c r="E77" i="88"/>
  <c r="C70" i="88"/>
  <c r="C69" i="88"/>
  <c r="C68" i="88"/>
  <c r="C67" i="88"/>
  <c r="C66" i="88"/>
  <c r="C65" i="88"/>
  <c r="C64" i="88"/>
  <c r="C63" i="88"/>
  <c r="C62" i="88"/>
  <c r="C61" i="88"/>
  <c r="C60" i="88"/>
  <c r="C59" i="88"/>
  <c r="C58" i="88"/>
  <c r="C57" i="88"/>
  <c r="C56" i="88"/>
  <c r="C55" i="88"/>
  <c r="C54" i="88"/>
  <c r="C53" i="88"/>
  <c r="C52" i="88"/>
  <c r="C51" i="88"/>
  <c r="C50" i="88"/>
  <c r="C49" i="88"/>
  <c r="C48" i="88"/>
  <c r="C47" i="88"/>
  <c r="C46" i="88"/>
  <c r="C45" i="88"/>
  <c r="C44" i="88"/>
  <c r="C43" i="88"/>
  <c r="C42" i="88"/>
  <c r="C41" i="88"/>
  <c r="C40" i="88"/>
  <c r="C39" i="88"/>
  <c r="C38" i="88"/>
  <c r="C37" i="88"/>
  <c r="C36" i="88"/>
  <c r="G34" i="88"/>
  <c r="F34" i="88"/>
  <c r="E34" i="88"/>
  <c r="D34" i="88"/>
  <c r="C33" i="88"/>
  <c r="C32" i="88"/>
  <c r="C31" i="88"/>
  <c r="C30" i="88"/>
  <c r="C29" i="88"/>
  <c r="C28" i="88"/>
  <c r="C27" i="88"/>
  <c r="C26" i="88"/>
  <c r="C25" i="88"/>
  <c r="C34" i="88" s="1"/>
  <c r="C22" i="88"/>
  <c r="F21" i="88"/>
  <c r="D21" i="88"/>
  <c r="C20" i="88"/>
  <c r="G19" i="88"/>
  <c r="G21" i="88" s="1"/>
  <c r="E19" i="88"/>
  <c r="C19" i="88"/>
  <c r="E18" i="88"/>
  <c r="C18" i="88"/>
  <c r="C17" i="88"/>
  <c r="C16" i="88"/>
  <c r="C15" i="88"/>
  <c r="C14" i="88"/>
  <c r="C13" i="88"/>
  <c r="C12" i="88"/>
  <c r="G11" i="88"/>
  <c r="C11" i="88"/>
  <c r="C21" i="88" l="1"/>
  <c r="C89" i="88"/>
  <c r="C97" i="88"/>
  <c r="G168" i="88"/>
  <c r="D168" i="88"/>
  <c r="F168" i="88"/>
  <c r="C125" i="88"/>
  <c r="C140" i="88"/>
  <c r="C132" i="88"/>
  <c r="E21" i="88"/>
  <c r="E125" i="88"/>
  <c r="C71" i="88"/>
  <c r="C77" i="88" s="1"/>
  <c r="E132" i="88"/>
  <c r="E140" i="88" s="1"/>
  <c r="C168" i="88" l="1"/>
  <c r="E168" i="88"/>
</calcChain>
</file>

<file path=xl/sharedStrings.xml><?xml version="1.0" encoding="utf-8"?>
<sst xmlns="http://schemas.openxmlformats.org/spreadsheetml/2006/main" count="180" uniqueCount="162">
  <si>
    <t>РАЗХОДИ</t>
  </si>
  <si>
    <t xml:space="preserve">ОБЩИНСКИ  ДЕЙНОСТИ </t>
  </si>
  <si>
    <t>№</t>
  </si>
  <si>
    <t>Наименование</t>
  </si>
  <si>
    <t>в т.ч.:</t>
  </si>
  <si>
    <t>Издръжка</t>
  </si>
  <si>
    <t>І</t>
  </si>
  <si>
    <t>Общинска администрация</t>
  </si>
  <si>
    <t xml:space="preserve">Бургас - собствен </t>
  </si>
  <si>
    <t xml:space="preserve"> - помощи по решение на Общински съвет</t>
  </si>
  <si>
    <t>Кметство Българово</t>
  </si>
  <si>
    <t>Кметство Равнец</t>
  </si>
  <si>
    <t>Кметство Маринка</t>
  </si>
  <si>
    <t>Кметство Извор</t>
  </si>
  <si>
    <t>Всичко:</t>
  </si>
  <si>
    <t>Общински съвет</t>
  </si>
  <si>
    <t>ІІ</t>
  </si>
  <si>
    <t>Отбрана и сигурност</t>
  </si>
  <si>
    <t xml:space="preserve">Други дейности по вътрешната сигурност </t>
  </si>
  <si>
    <t>Наблюдателна комисия по чл.171, ал.4 от Закона за изтърпяване на наказанията и задържането под стража</t>
  </si>
  <si>
    <t>ІІІ</t>
  </si>
  <si>
    <t>Образование</t>
  </si>
  <si>
    <t xml:space="preserve"> - Други дейности по образованието</t>
  </si>
  <si>
    <t>ІV</t>
  </si>
  <si>
    <t>Здравеопазване</t>
  </si>
  <si>
    <t xml:space="preserve">   Детска ясла №1</t>
  </si>
  <si>
    <t>Др.дейности по здравеопазването:</t>
  </si>
  <si>
    <t>V</t>
  </si>
  <si>
    <t>Соц.осигур. подпом. и грижи</t>
  </si>
  <si>
    <t>Домашен социален патронаж</t>
  </si>
  <si>
    <t>Програми за временна заетост</t>
  </si>
  <si>
    <t>VІ</t>
  </si>
  <si>
    <t>Жил.строителство, БКС, опазване на околната среда</t>
  </si>
  <si>
    <t xml:space="preserve">ВиК  </t>
  </si>
  <si>
    <t>Осветление</t>
  </si>
  <si>
    <t xml:space="preserve"> - Бургас - собствен</t>
  </si>
  <si>
    <t xml:space="preserve"> - км.Българово</t>
  </si>
  <si>
    <t xml:space="preserve"> - км.Равнец</t>
  </si>
  <si>
    <t xml:space="preserve"> - км.Маринка</t>
  </si>
  <si>
    <t xml:space="preserve"> - км.Извор</t>
  </si>
  <si>
    <t>Изграждане, ремонт и поддържане на уличната мрежа</t>
  </si>
  <si>
    <t>Озеленяване</t>
  </si>
  <si>
    <t>Чистота</t>
  </si>
  <si>
    <t>VІІ</t>
  </si>
  <si>
    <t>Спортни бази за масова физкултура</t>
  </si>
  <si>
    <t xml:space="preserve"> - Спортни клубове</t>
  </si>
  <si>
    <t>Други дейности на културата:</t>
  </si>
  <si>
    <t xml:space="preserve"> - Младежки културен център</t>
  </si>
  <si>
    <t xml:space="preserve"> - к.м."П.Дубарова"</t>
  </si>
  <si>
    <t xml:space="preserve"> - КЦ"Казино" и ОЕ"Охлюв"</t>
  </si>
  <si>
    <t xml:space="preserve"> - Други дейности по културата</t>
  </si>
  <si>
    <t>VІІІ</t>
  </si>
  <si>
    <t>Икономически дейности и услуги</t>
  </si>
  <si>
    <t>Приют за безстопанствени животни</t>
  </si>
  <si>
    <t>Др.дейности по икономиката</t>
  </si>
  <si>
    <t xml:space="preserve"> - ОП"Общински имоти"</t>
  </si>
  <si>
    <t xml:space="preserve"> - субсидии нестопански организации</t>
  </si>
  <si>
    <t xml:space="preserve"> - членски внос</t>
  </si>
  <si>
    <t>ІХ</t>
  </si>
  <si>
    <t>Лихви по заеми от банки</t>
  </si>
  <si>
    <t>Х</t>
  </si>
  <si>
    <t>Капиталови разходи с общ.приходи</t>
  </si>
  <si>
    <t>Общо: (І+ІІ+ІІІ+ІV+V+VІ+VІІ+VІІІ+ІХ+Х)</t>
  </si>
  <si>
    <t xml:space="preserve"> - ОП"Туризъм"</t>
  </si>
  <si>
    <t>Държавни и общински служби и дейности по изборите</t>
  </si>
  <si>
    <t>ОП"Чистота еко"</t>
  </si>
  <si>
    <t>Международни програми и споразумения</t>
  </si>
  <si>
    <t>Специализирана болница за активно лечение "Пневмо-фтизиатрични заболявания"</t>
  </si>
  <si>
    <t>Служби и дейности по поддр., ремонт и изграждане на пътища</t>
  </si>
  <si>
    <t xml:space="preserve"> - ОП "Летен театър, фестивали и концерти"</t>
  </si>
  <si>
    <t>Център за подкрепа на жертви на сексуално насилие</t>
  </si>
  <si>
    <t>Превантивна дейност за намаляване на вредните последствия от бедствия и аварии</t>
  </si>
  <si>
    <t xml:space="preserve"> - ДГ Звездица</t>
  </si>
  <si>
    <t xml:space="preserve"> - ДГ Ханс  К. Андерсен</t>
  </si>
  <si>
    <t xml:space="preserve"> - ДГ Калинка  кв. Рудник с филиал в кв. Черно море</t>
  </si>
  <si>
    <t xml:space="preserve"> - ДГ Златна рибка</t>
  </si>
  <si>
    <t xml:space="preserve"> - ДГ Вълшебство</t>
  </si>
  <si>
    <t xml:space="preserve"> - ДГ Пламъче</t>
  </si>
  <si>
    <t xml:space="preserve"> - ДГ Слънце</t>
  </si>
  <si>
    <t xml:space="preserve"> - ДГ Здравец</t>
  </si>
  <si>
    <t xml:space="preserve"> - ДГ Раковина</t>
  </si>
  <si>
    <t xml:space="preserve"> - ДГ Златното ключе</t>
  </si>
  <si>
    <t xml:space="preserve"> - ДГ Синчец - кв. Банево </t>
  </si>
  <si>
    <t xml:space="preserve"> - ДГ Пролетна дъга - с. Маринка с филиал в с. Извор</t>
  </si>
  <si>
    <t xml:space="preserve"> - ДГ Морска звезда</t>
  </si>
  <si>
    <t xml:space="preserve"> - ДГ Звездица Зорница</t>
  </si>
  <si>
    <t xml:space="preserve"> - ДГ Звънче</t>
  </si>
  <si>
    <t xml:space="preserve"> - ДГ Иглика</t>
  </si>
  <si>
    <t xml:space="preserve"> - ДГ Ран Босилек</t>
  </si>
  <si>
    <t xml:space="preserve"> - ДГ Брезичка</t>
  </si>
  <si>
    <t xml:space="preserve"> - ДГ Делфин</t>
  </si>
  <si>
    <t xml:space="preserve"> - ДГ Славейче</t>
  </si>
  <si>
    <t xml:space="preserve"> - ДГ Коледарче - кв. Д. Езерово с филиал в кв. Лозово</t>
  </si>
  <si>
    <t xml:space="preserve"> - ДГ Радост с филиал в кв. Крайморие</t>
  </si>
  <si>
    <t xml:space="preserve"> - ДГ Надежда</t>
  </si>
  <si>
    <t xml:space="preserve"> - ДГ Изгрев</t>
  </si>
  <si>
    <t xml:space="preserve"> - ДГ Моряче</t>
  </si>
  <si>
    <t xml:space="preserve"> - ДГ Веселушко</t>
  </si>
  <si>
    <t xml:space="preserve"> - ДГ Ален мак - кв. Сарафово</t>
  </si>
  <si>
    <t xml:space="preserve"> - ДГ Теменуга - с. Равнец</t>
  </si>
  <si>
    <t>Зонално жандармерийско управление - Бургас</t>
  </si>
  <si>
    <t xml:space="preserve"> - Център за подкрепа на личностното развитие</t>
  </si>
  <si>
    <t>ОД на МВР-Бургас</t>
  </si>
  <si>
    <t>Ликвидиране последиците от стихийни бедствия и производствени аварии</t>
  </si>
  <si>
    <t>ПФА "Странджа "</t>
  </si>
  <si>
    <t xml:space="preserve"> - Общински музей  "Авиомузей Бургас"</t>
  </si>
  <si>
    <t>Заплати и осигуровки</t>
  </si>
  <si>
    <t>Други възнаграж-дения</t>
  </si>
  <si>
    <t xml:space="preserve">Други дейности по здравеопазването-транспорт </t>
  </si>
  <si>
    <t xml:space="preserve"> - ДГ Пинокио</t>
  </si>
  <si>
    <t xml:space="preserve"> - Професионална гимназия по компютърно програмиране и иновации</t>
  </si>
  <si>
    <t xml:space="preserve"> - Спортни мероприятия и други дейности в спорта</t>
  </si>
  <si>
    <t>Център за почасови социални услуги</t>
  </si>
  <si>
    <t xml:space="preserve"> - Др.дейности по икономиката- общи работници, в т.ч.: </t>
  </si>
  <si>
    <t>Регионална дирекция "Пожарна безопасност и защита на населението" - Бургас</t>
  </si>
  <si>
    <t>Военоморски сили - Военно формирование 54950 Бургас</t>
  </si>
  <si>
    <t xml:space="preserve">   Детска ясла №3 и Счетоводство ясли</t>
  </si>
  <si>
    <t xml:space="preserve">   Детска ясла №5</t>
  </si>
  <si>
    <t>Патронажна грижа</t>
  </si>
  <si>
    <t xml:space="preserve"> - фонд "Активни пенсионери"</t>
  </si>
  <si>
    <t xml:space="preserve">Мерки и дейности в здравеопазването за ограничаване разпростанението на COVID-19 </t>
  </si>
  <si>
    <t>Др.дейности по жилищното строителство, благоустройството и регионалното развитие</t>
  </si>
  <si>
    <t>Управление, контрол и регулиране на дейностите по опазване на околната среда</t>
  </si>
  <si>
    <t xml:space="preserve"> - капиталови разходи от собствени бюджетни средства</t>
  </si>
  <si>
    <t xml:space="preserve"> - капапиталови разходи от преходен остатък</t>
  </si>
  <si>
    <t xml:space="preserve"> - капиталови разходи от банков заем</t>
  </si>
  <si>
    <t xml:space="preserve"> - капапиталови разходи съгласно Закона за държавния бюджет на Република България</t>
  </si>
  <si>
    <t>Дофинансиране на делегирани от държавата дейности</t>
  </si>
  <si>
    <t xml:space="preserve"> - ДГ Светулка - Българово</t>
  </si>
  <si>
    <t xml:space="preserve"> - ДГ Райна Княгиня</t>
  </si>
  <si>
    <t xml:space="preserve"> - ДГ Синчец с филиал в кв. Горно Езерово</t>
  </si>
  <si>
    <t xml:space="preserve"> - ДГ Калина Малина - кв. Ветрен</t>
  </si>
  <si>
    <t xml:space="preserve"> -  Превенции и младежки политики</t>
  </si>
  <si>
    <t xml:space="preserve"> - ДГ Чайка</t>
  </si>
  <si>
    <t xml:space="preserve"> - ДГ Детелина</t>
  </si>
  <si>
    <t>ОП "Обреден комплекс"</t>
  </si>
  <si>
    <t xml:space="preserve"> Програма "Осигуряване на достъпна жилищна среда и лична мобилност"</t>
  </si>
  <si>
    <t>Програма "Моят град, моят квартал, моята улица"</t>
  </si>
  <si>
    <t xml:space="preserve"> - Други дейности по икономиката - преходен остатък</t>
  </si>
  <si>
    <t>Култура, спорт, почивни дейности и религиозно дело</t>
  </si>
  <si>
    <t>Програма за насърчаване на раждаемостта</t>
  </si>
  <si>
    <t>Целева субсидия за капиталови разходи - Ремонт на общински път Банево- Изворище</t>
  </si>
  <si>
    <t>Фонд "Мостово финансиране и съфинансиране на проекти", в т.ч. европейски програми и наука</t>
  </si>
  <si>
    <t xml:space="preserve">   Детска млечна кухня</t>
  </si>
  <si>
    <t xml:space="preserve"> ПРОЕКТОБЮДЖЕТ  2022 ГОДИНА </t>
  </si>
  <si>
    <t>Дейности и превенции по национални и общински програми за здравеопазване и други дейности по здравеопазване</t>
  </si>
  <si>
    <t xml:space="preserve"> - Програма "Първокласно начало" - ремонт на класни стаи</t>
  </si>
  <si>
    <t xml:space="preserve"> Програма "Благоустрояване на спортни комплекси и детски площадки"</t>
  </si>
  <si>
    <t xml:space="preserve"> - Програма "Благоустрояване на спортни площадки в училища по проекти за съвместно финансиране в образованието“</t>
  </si>
  <si>
    <t>Проект "Енергоефективно улично осветление на Бургас"</t>
  </si>
  <si>
    <t>Преходен остатък</t>
  </si>
  <si>
    <t xml:space="preserve">Мерки във връзка с COVID-19 за субсидиране на пътнически превози по междуселищни автобусни линии </t>
  </si>
  <si>
    <t>Рехабилитация улица ПЗ "Север"</t>
  </si>
  <si>
    <t>Отчисления по чл.60 и чл. 64 от ЗУО</t>
  </si>
  <si>
    <t>Трансфер Зографски манастир</t>
  </si>
  <si>
    <t>Ремонт на парк ж.к. "Славейков"</t>
  </si>
  <si>
    <t>Дейности и мерки за неотложна помощ</t>
  </si>
  <si>
    <t>ОП"Транспорт"</t>
  </si>
  <si>
    <t>Други дейности по здравеопазването - инвитро</t>
  </si>
  <si>
    <t xml:space="preserve"> - омбществен посредник</t>
  </si>
  <si>
    <t>Приложение № 2.1</t>
  </si>
  <si>
    <t>ПРОЕКТО-  БЮДЖЕТ 2022 г.              /лв./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</si>
</sst>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name val="Arial"/>
      <family val="2"/>
    </font>
    <font>
      <sz val="11"/>
      <color indexed="8"/>
      <name val="Calibri"/>
      <family val="2"/>
      <charset val="1"/>
    </font>
    <font>
      <b/>
      <i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Border="0" applyProtection="0"/>
    <xf numFmtId="0" fontId="10" fillId="0" borderId="0"/>
    <xf numFmtId="0" fontId="11" fillId="0" borderId="0"/>
    <xf numFmtId="0" fontId="1" fillId="0" borderId="0"/>
  </cellStyleXfs>
  <cellXfs count="118">
    <xf numFmtId="0" fontId="0" fillId="0" borderId="0" xfId="0"/>
    <xf numFmtId="3" fontId="6" fillId="2" borderId="8" xfId="0" applyNumberFormat="1" applyFont="1" applyFill="1" applyBorder="1" applyAlignment="1">
      <alignment horizontal="right"/>
    </xf>
    <xf numFmtId="3" fontId="3" fillId="2" borderId="8" xfId="0" applyNumberFormat="1" applyFont="1" applyFill="1" applyBorder="1" applyAlignment="1">
      <alignment horizontal="right"/>
    </xf>
    <xf numFmtId="0" fontId="6" fillId="2" borderId="8" xfId="0" applyFont="1" applyFill="1" applyBorder="1" applyAlignment="1">
      <alignment horizontal="center"/>
    </xf>
    <xf numFmtId="3" fontId="3" fillId="2" borderId="9" xfId="0" applyNumberFormat="1" applyFont="1" applyFill="1" applyBorder="1" applyAlignment="1">
      <alignment horizontal="right"/>
    </xf>
    <xf numFmtId="0" fontId="8" fillId="2" borderId="0" xfId="0" applyFont="1" applyFill="1" applyAlignment="1"/>
    <xf numFmtId="0" fontId="6" fillId="2" borderId="11" xfId="0" applyFont="1" applyFill="1" applyBorder="1" applyAlignment="1">
      <alignment wrapText="1"/>
    </xf>
    <xf numFmtId="0" fontId="3" fillId="2" borderId="11" xfId="0" applyFont="1" applyFill="1" applyBorder="1" applyAlignment="1">
      <alignment wrapText="1"/>
    </xf>
    <xf numFmtId="0" fontId="8" fillId="2" borderId="0" xfId="0" applyFont="1" applyFill="1"/>
    <xf numFmtId="0" fontId="3" fillId="2" borderId="11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vertical="center" wrapText="1"/>
    </xf>
    <xf numFmtId="3" fontId="3" fillId="2" borderId="15" xfId="0" applyNumberFormat="1" applyFont="1" applyFill="1" applyBorder="1" applyAlignment="1">
      <alignment horizontal="right"/>
    </xf>
    <xf numFmtId="0" fontId="3" fillId="2" borderId="13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3" fillId="2" borderId="19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wrapText="1"/>
    </xf>
    <xf numFmtId="0" fontId="3" fillId="2" borderId="9" xfId="0" applyFont="1" applyFill="1" applyBorder="1" applyAlignment="1">
      <alignment wrapText="1"/>
    </xf>
    <xf numFmtId="0" fontId="4" fillId="2" borderId="14" xfId="0" applyFont="1" applyFill="1" applyBorder="1" applyAlignment="1">
      <alignment wrapText="1"/>
    </xf>
    <xf numFmtId="0" fontId="3" fillId="2" borderId="11" xfId="0" applyFont="1" applyFill="1" applyBorder="1" applyAlignment="1">
      <alignment horizontal="left" wrapText="1"/>
    </xf>
    <xf numFmtId="0" fontId="6" fillId="2" borderId="11" xfId="0" applyFont="1" applyFill="1" applyBorder="1" applyAlignment="1">
      <alignment horizontal="center" wrapText="1"/>
    </xf>
    <xf numFmtId="0" fontId="6" fillId="2" borderId="11" xfId="0" applyFont="1" applyFill="1" applyBorder="1" applyAlignment="1">
      <alignment horizontal="left" wrapText="1"/>
    </xf>
    <xf numFmtId="0" fontId="6" fillId="2" borderId="11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wrapText="1"/>
    </xf>
    <xf numFmtId="0" fontId="6" fillId="2" borderId="14" xfId="0" applyFont="1" applyFill="1" applyBorder="1" applyAlignment="1">
      <alignment vertical="center" wrapText="1"/>
    </xf>
    <xf numFmtId="0" fontId="6" fillId="2" borderId="14" xfId="0" applyFont="1" applyFill="1" applyBorder="1" applyAlignment="1">
      <alignment wrapText="1"/>
    </xf>
    <xf numFmtId="0" fontId="6" fillId="2" borderId="14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3" fillId="2" borderId="19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horizontal="left" vertical="center" wrapText="1"/>
    </xf>
    <xf numFmtId="3" fontId="6" fillId="2" borderId="11" xfId="0" applyNumberFormat="1" applyFont="1" applyFill="1" applyBorder="1" applyAlignment="1">
      <alignment horizontal="right"/>
    </xf>
    <xf numFmtId="0" fontId="3" fillId="2" borderId="17" xfId="0" applyFont="1" applyFill="1" applyBorder="1"/>
    <xf numFmtId="3" fontId="6" fillId="2" borderId="14" xfId="0" applyNumberFormat="1" applyFont="1" applyFill="1" applyBorder="1" applyAlignment="1">
      <alignment horizontal="right" vertical="center" wrapText="1"/>
    </xf>
    <xf numFmtId="3" fontId="3" fillId="2" borderId="16" xfId="0" applyNumberFormat="1" applyFont="1" applyFill="1" applyBorder="1" applyAlignment="1">
      <alignment horizontal="right" vertical="center" wrapText="1"/>
    </xf>
    <xf numFmtId="3" fontId="3" fillId="2" borderId="0" xfId="0" applyNumberFormat="1" applyFont="1" applyFill="1" applyBorder="1" applyAlignment="1">
      <alignment horizontal="right" vertical="center" wrapText="1"/>
    </xf>
    <xf numFmtId="3" fontId="6" fillId="2" borderId="9" xfId="0" applyNumberFormat="1" applyFont="1" applyFill="1" applyBorder="1" applyAlignment="1">
      <alignment horizontal="right"/>
    </xf>
    <xf numFmtId="3" fontId="6" fillId="2" borderId="20" xfId="0" applyNumberFormat="1" applyFont="1" applyFill="1" applyBorder="1" applyAlignment="1">
      <alignment horizontal="right"/>
    </xf>
    <xf numFmtId="3" fontId="6" fillId="2" borderId="15" xfId="0" applyNumberFormat="1" applyFont="1" applyFill="1" applyBorder="1" applyAlignment="1">
      <alignment horizontal="right" vertical="center" wrapText="1"/>
    </xf>
    <xf numFmtId="3" fontId="6" fillId="2" borderId="21" xfId="0" applyNumberFormat="1" applyFont="1" applyFill="1" applyBorder="1" applyAlignment="1">
      <alignment horizontal="right"/>
    </xf>
    <xf numFmtId="3" fontId="6" fillId="2" borderId="15" xfId="0" applyNumberFormat="1" applyFont="1" applyFill="1" applyBorder="1" applyAlignment="1">
      <alignment horizontal="right"/>
    </xf>
    <xf numFmtId="3" fontId="3" fillId="2" borderId="8" xfId="0" applyNumberFormat="1" applyFont="1" applyFill="1" applyBorder="1" applyAlignment="1">
      <alignment horizontal="right" vertical="center" wrapText="1"/>
    </xf>
    <xf numFmtId="0" fontId="6" fillId="2" borderId="10" xfId="0" applyFont="1" applyFill="1" applyBorder="1" applyAlignment="1">
      <alignment horizontal="left" vertical="center" wrapText="1"/>
    </xf>
    <xf numFmtId="3" fontId="3" fillId="2" borderId="16" xfId="0" applyNumberFormat="1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horizontal="right"/>
    </xf>
    <xf numFmtId="3" fontId="3" fillId="2" borderId="8" xfId="0" applyNumberFormat="1" applyFont="1" applyFill="1" applyBorder="1" applyAlignment="1">
      <alignment horizontal="right" wrapText="1"/>
    </xf>
    <xf numFmtId="0" fontId="3" fillId="2" borderId="8" xfId="0" applyFont="1" applyFill="1" applyBorder="1" applyAlignment="1">
      <alignment horizontal="center"/>
    </xf>
    <xf numFmtId="3" fontId="3" fillId="2" borderId="21" xfId="0" applyNumberFormat="1" applyFont="1" applyFill="1" applyBorder="1" applyAlignment="1">
      <alignment horizontal="right"/>
    </xf>
    <xf numFmtId="3" fontId="3" fillId="2" borderId="13" xfId="0" applyNumberFormat="1" applyFont="1" applyFill="1" applyBorder="1" applyAlignment="1">
      <alignment horizontal="right"/>
    </xf>
    <xf numFmtId="3" fontId="3" fillId="2" borderId="17" xfId="0" applyNumberFormat="1" applyFont="1" applyFill="1" applyBorder="1" applyAlignment="1"/>
    <xf numFmtId="0" fontId="4" fillId="2" borderId="0" xfId="0" applyFont="1" applyFill="1" applyAlignment="1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wrapText="1"/>
    </xf>
    <xf numFmtId="0" fontId="2" fillId="2" borderId="0" xfId="0" applyFont="1" applyFill="1"/>
    <xf numFmtId="0" fontId="5" fillId="2" borderId="0" xfId="0" applyFont="1" applyFill="1" applyAlignment="1">
      <alignment horizontal="right"/>
    </xf>
    <xf numFmtId="14" fontId="12" fillId="2" borderId="0" xfId="0" applyNumberFormat="1" applyFont="1" applyFill="1"/>
    <xf numFmtId="1" fontId="5" fillId="2" borderId="2" xfId="0" applyNumberFormat="1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left" vertical="center" wrapText="1"/>
    </xf>
    <xf numFmtId="0" fontId="3" fillId="2" borderId="12" xfId="0" applyFont="1" applyFill="1" applyBorder="1"/>
    <xf numFmtId="0" fontId="3" fillId="2" borderId="7" xfId="0" applyFont="1" applyFill="1" applyBorder="1"/>
    <xf numFmtId="3" fontId="3" fillId="2" borderId="23" xfId="0" applyNumberFormat="1" applyFont="1" applyFill="1" applyBorder="1"/>
    <xf numFmtId="3" fontId="3" fillId="2" borderId="7" xfId="0" applyNumberFormat="1" applyFont="1" applyFill="1" applyBorder="1"/>
    <xf numFmtId="0" fontId="3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right" vertical="center"/>
    </xf>
    <xf numFmtId="0" fontId="3" fillId="2" borderId="15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right" vertical="center" wrapText="1"/>
    </xf>
    <xf numFmtId="0" fontId="3" fillId="2" borderId="15" xfId="0" applyFont="1" applyFill="1" applyBorder="1" applyAlignment="1">
      <alignment horizontal="right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right" vertical="center" wrapText="1"/>
    </xf>
    <xf numFmtId="3" fontId="6" fillId="2" borderId="18" xfId="0" applyNumberFormat="1" applyFont="1" applyFill="1" applyBorder="1" applyAlignment="1">
      <alignment horizontal="right" vertical="center"/>
    </xf>
    <xf numFmtId="3" fontId="6" fillId="2" borderId="2" xfId="0" applyNumberFormat="1" applyFont="1" applyFill="1" applyBorder="1" applyAlignment="1">
      <alignment horizontal="right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right" vertical="center" wrapText="1"/>
    </xf>
    <xf numFmtId="3" fontId="6" fillId="2" borderId="3" xfId="0" applyNumberFormat="1" applyFont="1" applyFill="1" applyBorder="1" applyAlignment="1">
      <alignment horizontal="right" vertical="center"/>
    </xf>
    <xf numFmtId="3" fontId="6" fillId="2" borderId="4" xfId="0" applyNumberFormat="1" applyFont="1" applyFill="1" applyBorder="1" applyAlignment="1">
      <alignment horizontal="right" vertical="center"/>
    </xf>
    <xf numFmtId="3" fontId="3" fillId="2" borderId="1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center"/>
    </xf>
    <xf numFmtId="3" fontId="6" fillId="2" borderId="3" xfId="0" applyNumberFormat="1" applyFont="1" applyFill="1" applyBorder="1" applyAlignment="1">
      <alignment horizontal="right"/>
    </xf>
    <xf numFmtId="3" fontId="6" fillId="2" borderId="2" xfId="0" applyNumberFormat="1" applyFont="1" applyFill="1" applyBorder="1" applyAlignment="1">
      <alignment horizontal="right"/>
    </xf>
    <xf numFmtId="3" fontId="6" fillId="2" borderId="4" xfId="0" applyNumberFormat="1" applyFont="1" applyFill="1" applyBorder="1" applyAlignment="1">
      <alignment horizontal="right"/>
    </xf>
    <xf numFmtId="0" fontId="6" fillId="2" borderId="17" xfId="0" applyFont="1" applyFill="1" applyBorder="1" applyAlignment="1">
      <alignment horizontal="center"/>
    </xf>
    <xf numFmtId="0" fontId="8" fillId="2" borderId="0" xfId="0" applyFont="1" applyFill="1" applyAlignment="1">
      <alignment wrapText="1"/>
    </xf>
    <xf numFmtId="3" fontId="3" fillId="2" borderId="11" xfId="0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horizontal="center"/>
    </xf>
    <xf numFmtId="3" fontId="3" fillId="2" borderId="7" xfId="0" applyNumberFormat="1" applyFont="1" applyFill="1" applyBorder="1" applyAlignment="1">
      <alignment horizontal="right"/>
    </xf>
    <xf numFmtId="0" fontId="6" fillId="2" borderId="15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right" wrapText="1"/>
    </xf>
    <xf numFmtId="3" fontId="6" fillId="2" borderId="24" xfId="0" applyNumberFormat="1" applyFont="1" applyFill="1" applyBorder="1" applyAlignment="1">
      <alignment horizontal="right"/>
    </xf>
    <xf numFmtId="0" fontId="6" fillId="2" borderId="17" xfId="0" applyFont="1" applyFill="1" applyBorder="1" applyAlignment="1">
      <alignment horizontal="center" vertical="top"/>
    </xf>
    <xf numFmtId="3" fontId="3" fillId="2" borderId="17" xfId="0" applyNumberFormat="1" applyFont="1" applyFill="1" applyBorder="1" applyAlignment="1">
      <alignment horizontal="right"/>
    </xf>
    <xf numFmtId="0" fontId="12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top"/>
    </xf>
    <xf numFmtId="0" fontId="5" fillId="2" borderId="4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center" vertical="top"/>
    </xf>
  </cellXfs>
  <cellStyles count="5">
    <cellStyle name="Normal" xfId="0" builtinId="0"/>
    <cellStyle name="Normal 2" xfId="3"/>
    <cellStyle name="Normal 2 2 2" xfId="1"/>
    <cellStyle name="Normal 3" xfId="2"/>
    <cellStyle name="Normal 4" xfId="4"/>
  </cellStyles>
  <dxfs count="0"/>
  <tableStyles count="0" defaultTableStyle="TableStyleMedium2" defaultPivotStyle="PivotStyleMedium9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9"/>
  <sheetViews>
    <sheetView tabSelected="1" zoomScaleNormal="100" workbookViewId="0">
      <pane xSplit="2" ySplit="9" topLeftCell="C160" activePane="bottomRight" state="frozen"/>
      <selection pane="topRight" activeCell="C1" sqref="C1"/>
      <selection pane="bottomLeft" activeCell="A10" sqref="A10"/>
      <selection pane="bottomRight" activeCell="E165" sqref="E165"/>
    </sheetView>
  </sheetViews>
  <sheetFormatPr defaultRowHeight="15" x14ac:dyDescent="0.25"/>
  <cols>
    <col min="1" max="1" width="5" style="8" bestFit="1" customWidth="1"/>
    <col min="2" max="2" width="60.85546875" style="98" customWidth="1"/>
    <col min="3" max="3" width="13.85546875" style="8" customWidth="1"/>
    <col min="4" max="4" width="12.7109375" style="8" customWidth="1"/>
    <col min="5" max="5" width="13" style="8" customWidth="1"/>
    <col min="6" max="6" width="11.85546875" style="8" customWidth="1"/>
    <col min="7" max="7" width="14.5703125" style="8" customWidth="1"/>
    <col min="8" max="8" width="0.140625" style="8" hidden="1" customWidth="1"/>
    <col min="9" max="9" width="12.85546875" style="8" hidden="1" customWidth="1"/>
    <col min="10" max="10" width="12.7109375" style="8" hidden="1" customWidth="1"/>
    <col min="11" max="11" width="14.7109375" style="8" hidden="1" customWidth="1"/>
    <col min="12" max="12" width="13" style="8" hidden="1" customWidth="1"/>
    <col min="13" max="13" width="12.140625" style="8" hidden="1" customWidth="1"/>
    <col min="14" max="15" width="14.5703125" style="8" hidden="1" customWidth="1"/>
    <col min="16" max="16" width="11" style="8" customWidth="1"/>
    <col min="17" max="120" width="9.140625" style="8"/>
    <col min="121" max="121" width="5" style="8" bestFit="1" customWidth="1"/>
    <col min="122" max="122" width="68" style="8" bestFit="1" customWidth="1"/>
    <col min="123" max="123" width="13.85546875" style="8" customWidth="1"/>
    <col min="124" max="124" width="11.7109375" style="8" customWidth="1"/>
    <col min="125" max="125" width="11.28515625" style="8" bestFit="1" customWidth="1"/>
    <col min="126" max="126" width="9.140625" style="8"/>
    <col min="127" max="127" width="10.140625" style="8" bestFit="1" customWidth="1"/>
    <col min="128" max="376" width="9.140625" style="8"/>
    <col min="377" max="377" width="5" style="8" bestFit="1" customWidth="1"/>
    <col min="378" max="378" width="68" style="8" bestFit="1" customWidth="1"/>
    <col min="379" max="379" width="13.85546875" style="8" customWidth="1"/>
    <col min="380" max="380" width="11.7109375" style="8" customWidth="1"/>
    <col min="381" max="381" width="11.28515625" style="8" bestFit="1" customWidth="1"/>
    <col min="382" max="382" width="9.140625" style="8"/>
    <col min="383" max="383" width="10.140625" style="8" bestFit="1" customWidth="1"/>
    <col min="384" max="632" width="9.140625" style="8"/>
    <col min="633" max="633" width="5" style="8" bestFit="1" customWidth="1"/>
    <col min="634" max="634" width="68" style="8" bestFit="1" customWidth="1"/>
    <col min="635" max="635" width="13.85546875" style="8" customWidth="1"/>
    <col min="636" max="636" width="11.7109375" style="8" customWidth="1"/>
    <col min="637" max="637" width="11.28515625" style="8" bestFit="1" customWidth="1"/>
    <col min="638" max="638" width="9.140625" style="8"/>
    <col min="639" max="639" width="10.140625" style="8" bestFit="1" customWidth="1"/>
    <col min="640" max="888" width="9.140625" style="8"/>
    <col min="889" max="889" width="5" style="8" bestFit="1" customWidth="1"/>
    <col min="890" max="890" width="68" style="8" bestFit="1" customWidth="1"/>
    <col min="891" max="891" width="13.85546875" style="8" customWidth="1"/>
    <col min="892" max="892" width="11.7109375" style="8" customWidth="1"/>
    <col min="893" max="893" width="11.28515625" style="8" bestFit="1" customWidth="1"/>
    <col min="894" max="894" width="9.140625" style="8"/>
    <col min="895" max="895" width="10.140625" style="8" bestFit="1" customWidth="1"/>
    <col min="896" max="1144" width="9.140625" style="8"/>
    <col min="1145" max="1145" width="5" style="8" bestFit="1" customWidth="1"/>
    <col min="1146" max="1146" width="68" style="8" bestFit="1" customWidth="1"/>
    <col min="1147" max="1147" width="13.85546875" style="8" customWidth="1"/>
    <col min="1148" max="1148" width="11.7109375" style="8" customWidth="1"/>
    <col min="1149" max="1149" width="11.28515625" style="8" bestFit="1" customWidth="1"/>
    <col min="1150" max="1150" width="9.140625" style="8"/>
    <col min="1151" max="1151" width="10.140625" style="8" bestFit="1" customWidth="1"/>
    <col min="1152" max="1400" width="9.140625" style="8"/>
    <col min="1401" max="1401" width="5" style="8" bestFit="1" customWidth="1"/>
    <col min="1402" max="1402" width="68" style="8" bestFit="1" customWidth="1"/>
    <col min="1403" max="1403" width="13.85546875" style="8" customWidth="1"/>
    <col min="1404" max="1404" width="11.7109375" style="8" customWidth="1"/>
    <col min="1405" max="1405" width="11.28515625" style="8" bestFit="1" customWidth="1"/>
    <col min="1406" max="1406" width="9.140625" style="8"/>
    <col min="1407" max="1407" width="10.140625" style="8" bestFit="1" customWidth="1"/>
    <col min="1408" max="1656" width="9.140625" style="8"/>
    <col min="1657" max="1657" width="5" style="8" bestFit="1" customWidth="1"/>
    <col min="1658" max="1658" width="68" style="8" bestFit="1" customWidth="1"/>
    <col min="1659" max="1659" width="13.85546875" style="8" customWidth="1"/>
    <col min="1660" max="1660" width="11.7109375" style="8" customWidth="1"/>
    <col min="1661" max="1661" width="11.28515625" style="8" bestFit="1" customWidth="1"/>
    <col min="1662" max="1662" width="9.140625" style="8"/>
    <col min="1663" max="1663" width="10.140625" style="8" bestFit="1" customWidth="1"/>
    <col min="1664" max="1912" width="9.140625" style="8"/>
    <col min="1913" max="1913" width="5" style="8" bestFit="1" customWidth="1"/>
    <col min="1914" max="1914" width="68" style="8" bestFit="1" customWidth="1"/>
    <col min="1915" max="1915" width="13.85546875" style="8" customWidth="1"/>
    <col min="1916" max="1916" width="11.7109375" style="8" customWidth="1"/>
    <col min="1917" max="1917" width="11.28515625" style="8" bestFit="1" customWidth="1"/>
    <col min="1918" max="1918" width="9.140625" style="8"/>
    <col min="1919" max="1919" width="10.140625" style="8" bestFit="1" customWidth="1"/>
    <col min="1920" max="2168" width="9.140625" style="8"/>
    <col min="2169" max="2169" width="5" style="8" bestFit="1" customWidth="1"/>
    <col min="2170" max="2170" width="68" style="8" bestFit="1" customWidth="1"/>
    <col min="2171" max="2171" width="13.85546875" style="8" customWidth="1"/>
    <col min="2172" max="2172" width="11.7109375" style="8" customWidth="1"/>
    <col min="2173" max="2173" width="11.28515625" style="8" bestFit="1" customWidth="1"/>
    <col min="2174" max="2174" width="9.140625" style="8"/>
    <col min="2175" max="2175" width="10.140625" style="8" bestFit="1" customWidth="1"/>
    <col min="2176" max="2424" width="9.140625" style="8"/>
    <col min="2425" max="2425" width="5" style="8" bestFit="1" customWidth="1"/>
    <col min="2426" max="2426" width="68" style="8" bestFit="1" customWidth="1"/>
    <col min="2427" max="2427" width="13.85546875" style="8" customWidth="1"/>
    <col min="2428" max="2428" width="11.7109375" style="8" customWidth="1"/>
    <col min="2429" max="2429" width="11.28515625" style="8" bestFit="1" customWidth="1"/>
    <col min="2430" max="2430" width="9.140625" style="8"/>
    <col min="2431" max="2431" width="10.140625" style="8" bestFit="1" customWidth="1"/>
    <col min="2432" max="2680" width="9.140625" style="8"/>
    <col min="2681" max="2681" width="5" style="8" bestFit="1" customWidth="1"/>
    <col min="2682" max="2682" width="68" style="8" bestFit="1" customWidth="1"/>
    <col min="2683" max="2683" width="13.85546875" style="8" customWidth="1"/>
    <col min="2684" max="2684" width="11.7109375" style="8" customWidth="1"/>
    <col min="2685" max="2685" width="11.28515625" style="8" bestFit="1" customWidth="1"/>
    <col min="2686" max="2686" width="9.140625" style="8"/>
    <col min="2687" max="2687" width="10.140625" style="8" bestFit="1" customWidth="1"/>
    <col min="2688" max="2936" width="9.140625" style="8"/>
    <col min="2937" max="2937" width="5" style="8" bestFit="1" customWidth="1"/>
    <col min="2938" max="2938" width="68" style="8" bestFit="1" customWidth="1"/>
    <col min="2939" max="2939" width="13.85546875" style="8" customWidth="1"/>
    <col min="2940" max="2940" width="11.7109375" style="8" customWidth="1"/>
    <col min="2941" max="2941" width="11.28515625" style="8" bestFit="1" customWidth="1"/>
    <col min="2942" max="2942" width="9.140625" style="8"/>
    <col min="2943" max="2943" width="10.140625" style="8" bestFit="1" customWidth="1"/>
    <col min="2944" max="3192" width="9.140625" style="8"/>
    <col min="3193" max="3193" width="5" style="8" bestFit="1" customWidth="1"/>
    <col min="3194" max="3194" width="68" style="8" bestFit="1" customWidth="1"/>
    <col min="3195" max="3195" width="13.85546875" style="8" customWidth="1"/>
    <col min="3196" max="3196" width="11.7109375" style="8" customWidth="1"/>
    <col min="3197" max="3197" width="11.28515625" style="8" bestFit="1" customWidth="1"/>
    <col min="3198" max="3198" width="9.140625" style="8"/>
    <col min="3199" max="3199" width="10.140625" style="8" bestFit="1" customWidth="1"/>
    <col min="3200" max="3448" width="9.140625" style="8"/>
    <col min="3449" max="3449" width="5" style="8" bestFit="1" customWidth="1"/>
    <col min="3450" max="3450" width="68" style="8" bestFit="1" customWidth="1"/>
    <col min="3451" max="3451" width="13.85546875" style="8" customWidth="1"/>
    <col min="3452" max="3452" width="11.7109375" style="8" customWidth="1"/>
    <col min="3453" max="3453" width="11.28515625" style="8" bestFit="1" customWidth="1"/>
    <col min="3454" max="3454" width="9.140625" style="8"/>
    <col min="3455" max="3455" width="10.140625" style="8" bestFit="1" customWidth="1"/>
    <col min="3456" max="3704" width="9.140625" style="8"/>
    <col min="3705" max="3705" width="5" style="8" bestFit="1" customWidth="1"/>
    <col min="3706" max="3706" width="68" style="8" bestFit="1" customWidth="1"/>
    <col min="3707" max="3707" width="13.85546875" style="8" customWidth="1"/>
    <col min="3708" max="3708" width="11.7109375" style="8" customWidth="1"/>
    <col min="3709" max="3709" width="11.28515625" style="8" bestFit="1" customWidth="1"/>
    <col min="3710" max="3710" width="9.140625" style="8"/>
    <col min="3711" max="3711" width="10.140625" style="8" bestFit="1" customWidth="1"/>
    <col min="3712" max="3960" width="9.140625" style="8"/>
    <col min="3961" max="3961" width="5" style="8" bestFit="1" customWidth="1"/>
    <col min="3962" max="3962" width="68" style="8" bestFit="1" customWidth="1"/>
    <col min="3963" max="3963" width="13.85546875" style="8" customWidth="1"/>
    <col min="3964" max="3964" width="11.7109375" style="8" customWidth="1"/>
    <col min="3965" max="3965" width="11.28515625" style="8" bestFit="1" customWidth="1"/>
    <col min="3966" max="3966" width="9.140625" style="8"/>
    <col min="3967" max="3967" width="10.140625" style="8" bestFit="1" customWidth="1"/>
    <col min="3968" max="4216" width="9.140625" style="8"/>
    <col min="4217" max="4217" width="5" style="8" bestFit="1" customWidth="1"/>
    <col min="4218" max="4218" width="68" style="8" bestFit="1" customWidth="1"/>
    <col min="4219" max="4219" width="13.85546875" style="8" customWidth="1"/>
    <col min="4220" max="4220" width="11.7109375" style="8" customWidth="1"/>
    <col min="4221" max="4221" width="11.28515625" style="8" bestFit="1" customWidth="1"/>
    <col min="4222" max="4222" width="9.140625" style="8"/>
    <col min="4223" max="4223" width="10.140625" style="8" bestFit="1" customWidth="1"/>
    <col min="4224" max="4472" width="9.140625" style="8"/>
    <col min="4473" max="4473" width="5" style="8" bestFit="1" customWidth="1"/>
    <col min="4474" max="4474" width="68" style="8" bestFit="1" customWidth="1"/>
    <col min="4475" max="4475" width="13.85546875" style="8" customWidth="1"/>
    <col min="4476" max="4476" width="11.7109375" style="8" customWidth="1"/>
    <col min="4477" max="4477" width="11.28515625" style="8" bestFit="1" customWidth="1"/>
    <col min="4478" max="4478" width="9.140625" style="8"/>
    <col min="4479" max="4479" width="10.140625" style="8" bestFit="1" customWidth="1"/>
    <col min="4480" max="4728" width="9.140625" style="8"/>
    <col min="4729" max="4729" width="5" style="8" bestFit="1" customWidth="1"/>
    <col min="4730" max="4730" width="68" style="8" bestFit="1" customWidth="1"/>
    <col min="4731" max="4731" width="13.85546875" style="8" customWidth="1"/>
    <col min="4732" max="4732" width="11.7109375" style="8" customWidth="1"/>
    <col min="4733" max="4733" width="11.28515625" style="8" bestFit="1" customWidth="1"/>
    <col min="4734" max="4734" width="9.140625" style="8"/>
    <col min="4735" max="4735" width="10.140625" style="8" bestFit="1" customWidth="1"/>
    <col min="4736" max="4984" width="9.140625" style="8"/>
    <col min="4985" max="4985" width="5" style="8" bestFit="1" customWidth="1"/>
    <col min="4986" max="4986" width="68" style="8" bestFit="1" customWidth="1"/>
    <col min="4987" max="4987" width="13.85546875" style="8" customWidth="1"/>
    <col min="4988" max="4988" width="11.7109375" style="8" customWidth="1"/>
    <col min="4989" max="4989" width="11.28515625" style="8" bestFit="1" customWidth="1"/>
    <col min="4990" max="4990" width="9.140625" style="8"/>
    <col min="4991" max="4991" width="10.140625" style="8" bestFit="1" customWidth="1"/>
    <col min="4992" max="5240" width="9.140625" style="8"/>
    <col min="5241" max="5241" width="5" style="8" bestFit="1" customWidth="1"/>
    <col min="5242" max="5242" width="68" style="8" bestFit="1" customWidth="1"/>
    <col min="5243" max="5243" width="13.85546875" style="8" customWidth="1"/>
    <col min="5244" max="5244" width="11.7109375" style="8" customWidth="1"/>
    <col min="5245" max="5245" width="11.28515625" style="8" bestFit="1" customWidth="1"/>
    <col min="5246" max="5246" width="9.140625" style="8"/>
    <col min="5247" max="5247" width="10.140625" style="8" bestFit="1" customWidth="1"/>
    <col min="5248" max="5496" width="9.140625" style="8"/>
    <col min="5497" max="5497" width="5" style="8" bestFit="1" customWidth="1"/>
    <col min="5498" max="5498" width="68" style="8" bestFit="1" customWidth="1"/>
    <col min="5499" max="5499" width="13.85546875" style="8" customWidth="1"/>
    <col min="5500" max="5500" width="11.7109375" style="8" customWidth="1"/>
    <col min="5501" max="5501" width="11.28515625" style="8" bestFit="1" customWidth="1"/>
    <col min="5502" max="5502" width="9.140625" style="8"/>
    <col min="5503" max="5503" width="10.140625" style="8" bestFit="1" customWidth="1"/>
    <col min="5504" max="5752" width="9.140625" style="8"/>
    <col min="5753" max="5753" width="5" style="8" bestFit="1" customWidth="1"/>
    <col min="5754" max="5754" width="68" style="8" bestFit="1" customWidth="1"/>
    <col min="5755" max="5755" width="13.85546875" style="8" customWidth="1"/>
    <col min="5756" max="5756" width="11.7109375" style="8" customWidth="1"/>
    <col min="5757" max="5757" width="11.28515625" style="8" bestFit="1" customWidth="1"/>
    <col min="5758" max="5758" width="9.140625" style="8"/>
    <col min="5759" max="5759" width="10.140625" style="8" bestFit="1" customWidth="1"/>
    <col min="5760" max="6008" width="9.140625" style="8"/>
    <col min="6009" max="6009" width="5" style="8" bestFit="1" customWidth="1"/>
    <col min="6010" max="6010" width="68" style="8" bestFit="1" customWidth="1"/>
    <col min="6011" max="6011" width="13.85546875" style="8" customWidth="1"/>
    <col min="6012" max="6012" width="11.7109375" style="8" customWidth="1"/>
    <col min="6013" max="6013" width="11.28515625" style="8" bestFit="1" customWidth="1"/>
    <col min="6014" max="6014" width="9.140625" style="8"/>
    <col min="6015" max="6015" width="10.140625" style="8" bestFit="1" customWidth="1"/>
    <col min="6016" max="6264" width="9.140625" style="8"/>
    <col min="6265" max="6265" width="5" style="8" bestFit="1" customWidth="1"/>
    <col min="6266" max="6266" width="68" style="8" bestFit="1" customWidth="1"/>
    <col min="6267" max="6267" width="13.85546875" style="8" customWidth="1"/>
    <col min="6268" max="6268" width="11.7109375" style="8" customWidth="1"/>
    <col min="6269" max="6269" width="11.28515625" style="8" bestFit="1" customWidth="1"/>
    <col min="6270" max="6270" width="9.140625" style="8"/>
    <col min="6271" max="6271" width="10.140625" style="8" bestFit="1" customWidth="1"/>
    <col min="6272" max="6520" width="9.140625" style="8"/>
    <col min="6521" max="6521" width="5" style="8" bestFit="1" customWidth="1"/>
    <col min="6522" max="6522" width="68" style="8" bestFit="1" customWidth="1"/>
    <col min="6523" max="6523" width="13.85546875" style="8" customWidth="1"/>
    <col min="6524" max="6524" width="11.7109375" style="8" customWidth="1"/>
    <col min="6525" max="6525" width="11.28515625" style="8" bestFit="1" customWidth="1"/>
    <col min="6526" max="6526" width="9.140625" style="8"/>
    <col min="6527" max="6527" width="10.140625" style="8" bestFit="1" customWidth="1"/>
    <col min="6528" max="6776" width="9.140625" style="8"/>
    <col min="6777" max="6777" width="5" style="8" bestFit="1" customWidth="1"/>
    <col min="6778" max="6778" width="68" style="8" bestFit="1" customWidth="1"/>
    <col min="6779" max="6779" width="13.85546875" style="8" customWidth="1"/>
    <col min="6780" max="6780" width="11.7109375" style="8" customWidth="1"/>
    <col min="6781" max="6781" width="11.28515625" style="8" bestFit="1" customWidth="1"/>
    <col min="6782" max="6782" width="9.140625" style="8"/>
    <col min="6783" max="6783" width="10.140625" style="8" bestFit="1" customWidth="1"/>
    <col min="6784" max="7032" width="9.140625" style="8"/>
    <col min="7033" max="7033" width="5" style="8" bestFit="1" customWidth="1"/>
    <col min="7034" max="7034" width="68" style="8" bestFit="1" customWidth="1"/>
    <col min="7035" max="7035" width="13.85546875" style="8" customWidth="1"/>
    <col min="7036" max="7036" width="11.7109375" style="8" customWidth="1"/>
    <col min="7037" max="7037" width="11.28515625" style="8" bestFit="1" customWidth="1"/>
    <col min="7038" max="7038" width="9.140625" style="8"/>
    <col min="7039" max="7039" width="10.140625" style="8" bestFit="1" customWidth="1"/>
    <col min="7040" max="7288" width="9.140625" style="8"/>
    <col min="7289" max="7289" width="5" style="8" bestFit="1" customWidth="1"/>
    <col min="7290" max="7290" width="68" style="8" bestFit="1" customWidth="1"/>
    <col min="7291" max="7291" width="13.85546875" style="8" customWidth="1"/>
    <col min="7292" max="7292" width="11.7109375" style="8" customWidth="1"/>
    <col min="7293" max="7293" width="11.28515625" style="8" bestFit="1" customWidth="1"/>
    <col min="7294" max="7294" width="9.140625" style="8"/>
    <col min="7295" max="7295" width="10.140625" style="8" bestFit="1" customWidth="1"/>
    <col min="7296" max="7544" width="9.140625" style="8"/>
    <col min="7545" max="7545" width="5" style="8" bestFit="1" customWidth="1"/>
    <col min="7546" max="7546" width="68" style="8" bestFit="1" customWidth="1"/>
    <col min="7547" max="7547" width="13.85546875" style="8" customWidth="1"/>
    <col min="7548" max="7548" width="11.7109375" style="8" customWidth="1"/>
    <col min="7549" max="7549" width="11.28515625" style="8" bestFit="1" customWidth="1"/>
    <col min="7550" max="7550" width="9.140625" style="8"/>
    <col min="7551" max="7551" width="10.140625" style="8" bestFit="1" customWidth="1"/>
    <col min="7552" max="7800" width="9.140625" style="8"/>
    <col min="7801" max="7801" width="5" style="8" bestFit="1" customWidth="1"/>
    <col min="7802" max="7802" width="68" style="8" bestFit="1" customWidth="1"/>
    <col min="7803" max="7803" width="13.85546875" style="8" customWidth="1"/>
    <col min="7804" max="7804" width="11.7109375" style="8" customWidth="1"/>
    <col min="7805" max="7805" width="11.28515625" style="8" bestFit="1" customWidth="1"/>
    <col min="7806" max="7806" width="9.140625" style="8"/>
    <col min="7807" max="7807" width="10.140625" style="8" bestFit="1" customWidth="1"/>
    <col min="7808" max="8056" width="9.140625" style="8"/>
    <col min="8057" max="8057" width="5" style="8" bestFit="1" customWidth="1"/>
    <col min="8058" max="8058" width="68" style="8" bestFit="1" customWidth="1"/>
    <col min="8059" max="8059" width="13.85546875" style="8" customWidth="1"/>
    <col min="8060" max="8060" width="11.7109375" style="8" customWidth="1"/>
    <col min="8061" max="8061" width="11.28515625" style="8" bestFit="1" customWidth="1"/>
    <col min="8062" max="8062" width="9.140625" style="8"/>
    <col min="8063" max="8063" width="10.140625" style="8" bestFit="1" customWidth="1"/>
    <col min="8064" max="8312" width="9.140625" style="8"/>
    <col min="8313" max="8313" width="5" style="8" bestFit="1" customWidth="1"/>
    <col min="8314" max="8314" width="68" style="8" bestFit="1" customWidth="1"/>
    <col min="8315" max="8315" width="13.85546875" style="8" customWidth="1"/>
    <col min="8316" max="8316" width="11.7109375" style="8" customWidth="1"/>
    <col min="8317" max="8317" width="11.28515625" style="8" bestFit="1" customWidth="1"/>
    <col min="8318" max="8318" width="9.140625" style="8"/>
    <col min="8319" max="8319" width="10.140625" style="8" bestFit="1" customWidth="1"/>
    <col min="8320" max="8568" width="9.140625" style="8"/>
    <col min="8569" max="8569" width="5" style="8" bestFit="1" customWidth="1"/>
    <col min="8570" max="8570" width="68" style="8" bestFit="1" customWidth="1"/>
    <col min="8571" max="8571" width="13.85546875" style="8" customWidth="1"/>
    <col min="8572" max="8572" width="11.7109375" style="8" customWidth="1"/>
    <col min="8573" max="8573" width="11.28515625" style="8" bestFit="1" customWidth="1"/>
    <col min="8574" max="8574" width="9.140625" style="8"/>
    <col min="8575" max="8575" width="10.140625" style="8" bestFit="1" customWidth="1"/>
    <col min="8576" max="8824" width="9.140625" style="8"/>
    <col min="8825" max="8825" width="5" style="8" bestFit="1" customWidth="1"/>
    <col min="8826" max="8826" width="68" style="8" bestFit="1" customWidth="1"/>
    <col min="8827" max="8827" width="13.85546875" style="8" customWidth="1"/>
    <col min="8828" max="8828" width="11.7109375" style="8" customWidth="1"/>
    <col min="8829" max="8829" width="11.28515625" style="8" bestFit="1" customWidth="1"/>
    <col min="8830" max="8830" width="9.140625" style="8"/>
    <col min="8831" max="8831" width="10.140625" style="8" bestFit="1" customWidth="1"/>
    <col min="8832" max="9080" width="9.140625" style="8"/>
    <col min="9081" max="9081" width="5" style="8" bestFit="1" customWidth="1"/>
    <col min="9082" max="9082" width="68" style="8" bestFit="1" customWidth="1"/>
    <col min="9083" max="9083" width="13.85546875" style="8" customWidth="1"/>
    <col min="9084" max="9084" width="11.7109375" style="8" customWidth="1"/>
    <col min="9085" max="9085" width="11.28515625" style="8" bestFit="1" customWidth="1"/>
    <col min="9086" max="9086" width="9.140625" style="8"/>
    <col min="9087" max="9087" width="10.140625" style="8" bestFit="1" customWidth="1"/>
    <col min="9088" max="9336" width="9.140625" style="8"/>
    <col min="9337" max="9337" width="5" style="8" bestFit="1" customWidth="1"/>
    <col min="9338" max="9338" width="68" style="8" bestFit="1" customWidth="1"/>
    <col min="9339" max="9339" width="13.85546875" style="8" customWidth="1"/>
    <col min="9340" max="9340" width="11.7109375" style="8" customWidth="1"/>
    <col min="9341" max="9341" width="11.28515625" style="8" bestFit="1" customWidth="1"/>
    <col min="9342" max="9342" width="9.140625" style="8"/>
    <col min="9343" max="9343" width="10.140625" style="8" bestFit="1" customWidth="1"/>
    <col min="9344" max="9592" width="9.140625" style="8"/>
    <col min="9593" max="9593" width="5" style="8" bestFit="1" customWidth="1"/>
    <col min="9594" max="9594" width="68" style="8" bestFit="1" customWidth="1"/>
    <col min="9595" max="9595" width="13.85546875" style="8" customWidth="1"/>
    <col min="9596" max="9596" width="11.7109375" style="8" customWidth="1"/>
    <col min="9597" max="9597" width="11.28515625" style="8" bestFit="1" customWidth="1"/>
    <col min="9598" max="9598" width="9.140625" style="8"/>
    <col min="9599" max="9599" width="10.140625" style="8" bestFit="1" customWidth="1"/>
    <col min="9600" max="9848" width="9.140625" style="8"/>
    <col min="9849" max="9849" width="5" style="8" bestFit="1" customWidth="1"/>
    <col min="9850" max="9850" width="68" style="8" bestFit="1" customWidth="1"/>
    <col min="9851" max="9851" width="13.85546875" style="8" customWidth="1"/>
    <col min="9852" max="9852" width="11.7109375" style="8" customWidth="1"/>
    <col min="9853" max="9853" width="11.28515625" style="8" bestFit="1" customWidth="1"/>
    <col min="9854" max="9854" width="9.140625" style="8"/>
    <col min="9855" max="9855" width="10.140625" style="8" bestFit="1" customWidth="1"/>
    <col min="9856" max="10104" width="9.140625" style="8"/>
    <col min="10105" max="10105" width="5" style="8" bestFit="1" customWidth="1"/>
    <col min="10106" max="10106" width="68" style="8" bestFit="1" customWidth="1"/>
    <col min="10107" max="10107" width="13.85546875" style="8" customWidth="1"/>
    <col min="10108" max="10108" width="11.7109375" style="8" customWidth="1"/>
    <col min="10109" max="10109" width="11.28515625" style="8" bestFit="1" customWidth="1"/>
    <col min="10110" max="10110" width="9.140625" style="8"/>
    <col min="10111" max="10111" width="10.140625" style="8" bestFit="1" customWidth="1"/>
    <col min="10112" max="10360" width="9.140625" style="8"/>
    <col min="10361" max="10361" width="5" style="8" bestFit="1" customWidth="1"/>
    <col min="10362" max="10362" width="68" style="8" bestFit="1" customWidth="1"/>
    <col min="10363" max="10363" width="13.85546875" style="8" customWidth="1"/>
    <col min="10364" max="10364" width="11.7109375" style="8" customWidth="1"/>
    <col min="10365" max="10365" width="11.28515625" style="8" bestFit="1" customWidth="1"/>
    <col min="10366" max="10366" width="9.140625" style="8"/>
    <col min="10367" max="10367" width="10.140625" style="8" bestFit="1" customWidth="1"/>
    <col min="10368" max="10616" width="9.140625" style="8"/>
    <col min="10617" max="10617" width="5" style="8" bestFit="1" customWidth="1"/>
    <col min="10618" max="10618" width="68" style="8" bestFit="1" customWidth="1"/>
    <col min="10619" max="10619" width="13.85546875" style="8" customWidth="1"/>
    <col min="10620" max="10620" width="11.7109375" style="8" customWidth="1"/>
    <col min="10621" max="10621" width="11.28515625" style="8" bestFit="1" customWidth="1"/>
    <col min="10622" max="10622" width="9.140625" style="8"/>
    <col min="10623" max="10623" width="10.140625" style="8" bestFit="1" customWidth="1"/>
    <col min="10624" max="10872" width="9.140625" style="8"/>
    <col min="10873" max="10873" width="5" style="8" bestFit="1" customWidth="1"/>
    <col min="10874" max="10874" width="68" style="8" bestFit="1" customWidth="1"/>
    <col min="10875" max="10875" width="13.85546875" style="8" customWidth="1"/>
    <col min="10876" max="10876" width="11.7109375" style="8" customWidth="1"/>
    <col min="10877" max="10877" width="11.28515625" style="8" bestFit="1" customWidth="1"/>
    <col min="10878" max="10878" width="9.140625" style="8"/>
    <col min="10879" max="10879" width="10.140625" style="8" bestFit="1" customWidth="1"/>
    <col min="10880" max="11128" width="9.140625" style="8"/>
    <col min="11129" max="11129" width="5" style="8" bestFit="1" customWidth="1"/>
    <col min="11130" max="11130" width="68" style="8" bestFit="1" customWidth="1"/>
    <col min="11131" max="11131" width="13.85546875" style="8" customWidth="1"/>
    <col min="11132" max="11132" width="11.7109375" style="8" customWidth="1"/>
    <col min="11133" max="11133" width="11.28515625" style="8" bestFit="1" customWidth="1"/>
    <col min="11134" max="11134" width="9.140625" style="8"/>
    <col min="11135" max="11135" width="10.140625" style="8" bestFit="1" customWidth="1"/>
    <col min="11136" max="11384" width="9.140625" style="8"/>
    <col min="11385" max="11385" width="5" style="8" bestFit="1" customWidth="1"/>
    <col min="11386" max="11386" width="68" style="8" bestFit="1" customWidth="1"/>
    <col min="11387" max="11387" width="13.85546875" style="8" customWidth="1"/>
    <col min="11388" max="11388" width="11.7109375" style="8" customWidth="1"/>
    <col min="11389" max="11389" width="11.28515625" style="8" bestFit="1" customWidth="1"/>
    <col min="11390" max="11390" width="9.140625" style="8"/>
    <col min="11391" max="11391" width="10.140625" style="8" bestFit="1" customWidth="1"/>
    <col min="11392" max="11640" width="9.140625" style="8"/>
    <col min="11641" max="11641" width="5" style="8" bestFit="1" customWidth="1"/>
    <col min="11642" max="11642" width="68" style="8" bestFit="1" customWidth="1"/>
    <col min="11643" max="11643" width="13.85546875" style="8" customWidth="1"/>
    <col min="11644" max="11644" width="11.7109375" style="8" customWidth="1"/>
    <col min="11645" max="11645" width="11.28515625" style="8" bestFit="1" customWidth="1"/>
    <col min="11646" max="11646" width="9.140625" style="8"/>
    <col min="11647" max="11647" width="10.140625" style="8" bestFit="1" customWidth="1"/>
    <col min="11648" max="11896" width="9.140625" style="8"/>
    <col min="11897" max="11897" width="5" style="8" bestFit="1" customWidth="1"/>
    <col min="11898" max="11898" width="68" style="8" bestFit="1" customWidth="1"/>
    <col min="11899" max="11899" width="13.85546875" style="8" customWidth="1"/>
    <col min="11900" max="11900" width="11.7109375" style="8" customWidth="1"/>
    <col min="11901" max="11901" width="11.28515625" style="8" bestFit="1" customWidth="1"/>
    <col min="11902" max="11902" width="9.140625" style="8"/>
    <col min="11903" max="11903" width="10.140625" style="8" bestFit="1" customWidth="1"/>
    <col min="11904" max="12152" width="9.140625" style="8"/>
    <col min="12153" max="12153" width="5" style="8" bestFit="1" customWidth="1"/>
    <col min="12154" max="12154" width="68" style="8" bestFit="1" customWidth="1"/>
    <col min="12155" max="12155" width="13.85546875" style="8" customWidth="1"/>
    <col min="12156" max="12156" width="11.7109375" style="8" customWidth="1"/>
    <col min="12157" max="12157" width="11.28515625" style="8" bestFit="1" customWidth="1"/>
    <col min="12158" max="12158" width="9.140625" style="8"/>
    <col min="12159" max="12159" width="10.140625" style="8" bestFit="1" customWidth="1"/>
    <col min="12160" max="12408" width="9.140625" style="8"/>
    <col min="12409" max="12409" width="5" style="8" bestFit="1" customWidth="1"/>
    <col min="12410" max="12410" width="68" style="8" bestFit="1" customWidth="1"/>
    <col min="12411" max="12411" width="13.85546875" style="8" customWidth="1"/>
    <col min="12412" max="12412" width="11.7109375" style="8" customWidth="1"/>
    <col min="12413" max="12413" width="11.28515625" style="8" bestFit="1" customWidth="1"/>
    <col min="12414" max="12414" width="9.140625" style="8"/>
    <col min="12415" max="12415" width="10.140625" style="8" bestFit="1" customWidth="1"/>
    <col min="12416" max="12664" width="9.140625" style="8"/>
    <col min="12665" max="12665" width="5" style="8" bestFit="1" customWidth="1"/>
    <col min="12666" max="12666" width="68" style="8" bestFit="1" customWidth="1"/>
    <col min="12667" max="12667" width="13.85546875" style="8" customWidth="1"/>
    <col min="12668" max="12668" width="11.7109375" style="8" customWidth="1"/>
    <col min="12669" max="12669" width="11.28515625" style="8" bestFit="1" customWidth="1"/>
    <col min="12670" max="12670" width="9.140625" style="8"/>
    <col min="12671" max="12671" width="10.140625" style="8" bestFit="1" customWidth="1"/>
    <col min="12672" max="12920" width="9.140625" style="8"/>
    <col min="12921" max="12921" width="5" style="8" bestFit="1" customWidth="1"/>
    <col min="12922" max="12922" width="68" style="8" bestFit="1" customWidth="1"/>
    <col min="12923" max="12923" width="13.85546875" style="8" customWidth="1"/>
    <col min="12924" max="12924" width="11.7109375" style="8" customWidth="1"/>
    <col min="12925" max="12925" width="11.28515625" style="8" bestFit="1" customWidth="1"/>
    <col min="12926" max="12926" width="9.140625" style="8"/>
    <col min="12927" max="12927" width="10.140625" style="8" bestFit="1" customWidth="1"/>
    <col min="12928" max="13176" width="9.140625" style="8"/>
    <col min="13177" max="13177" width="5" style="8" bestFit="1" customWidth="1"/>
    <col min="13178" max="13178" width="68" style="8" bestFit="1" customWidth="1"/>
    <col min="13179" max="13179" width="13.85546875" style="8" customWidth="1"/>
    <col min="13180" max="13180" width="11.7109375" style="8" customWidth="1"/>
    <col min="13181" max="13181" width="11.28515625" style="8" bestFit="1" customWidth="1"/>
    <col min="13182" max="13182" width="9.140625" style="8"/>
    <col min="13183" max="13183" width="10.140625" style="8" bestFit="1" customWidth="1"/>
    <col min="13184" max="13432" width="9.140625" style="8"/>
    <col min="13433" max="13433" width="5" style="8" bestFit="1" customWidth="1"/>
    <col min="13434" max="13434" width="68" style="8" bestFit="1" customWidth="1"/>
    <col min="13435" max="13435" width="13.85546875" style="8" customWidth="1"/>
    <col min="13436" max="13436" width="11.7109375" style="8" customWidth="1"/>
    <col min="13437" max="13437" width="11.28515625" style="8" bestFit="1" customWidth="1"/>
    <col min="13438" max="13438" width="9.140625" style="8"/>
    <col min="13439" max="13439" width="10.140625" style="8" bestFit="1" customWidth="1"/>
    <col min="13440" max="13688" width="9.140625" style="8"/>
    <col min="13689" max="13689" width="5" style="8" bestFit="1" customWidth="1"/>
    <col min="13690" max="13690" width="68" style="8" bestFit="1" customWidth="1"/>
    <col min="13691" max="13691" width="13.85546875" style="8" customWidth="1"/>
    <col min="13692" max="13692" width="11.7109375" style="8" customWidth="1"/>
    <col min="13693" max="13693" width="11.28515625" style="8" bestFit="1" customWidth="1"/>
    <col min="13694" max="13694" width="9.140625" style="8"/>
    <col min="13695" max="13695" width="10.140625" style="8" bestFit="1" customWidth="1"/>
    <col min="13696" max="13944" width="9.140625" style="8"/>
    <col min="13945" max="13945" width="5" style="8" bestFit="1" customWidth="1"/>
    <col min="13946" max="13946" width="68" style="8" bestFit="1" customWidth="1"/>
    <col min="13947" max="13947" width="13.85546875" style="8" customWidth="1"/>
    <col min="13948" max="13948" width="11.7109375" style="8" customWidth="1"/>
    <col min="13949" max="13949" width="11.28515625" style="8" bestFit="1" customWidth="1"/>
    <col min="13950" max="13950" width="9.140625" style="8"/>
    <col min="13951" max="13951" width="10.140625" style="8" bestFit="1" customWidth="1"/>
    <col min="13952" max="14200" width="9.140625" style="8"/>
    <col min="14201" max="14201" width="5" style="8" bestFit="1" customWidth="1"/>
    <col min="14202" max="14202" width="68" style="8" bestFit="1" customWidth="1"/>
    <col min="14203" max="14203" width="13.85546875" style="8" customWidth="1"/>
    <col min="14204" max="14204" width="11.7109375" style="8" customWidth="1"/>
    <col min="14205" max="14205" width="11.28515625" style="8" bestFit="1" customWidth="1"/>
    <col min="14206" max="14206" width="9.140625" style="8"/>
    <col min="14207" max="14207" width="10.140625" style="8" bestFit="1" customWidth="1"/>
    <col min="14208" max="14456" width="9.140625" style="8"/>
    <col min="14457" max="14457" width="5" style="8" bestFit="1" customWidth="1"/>
    <col min="14458" max="14458" width="68" style="8" bestFit="1" customWidth="1"/>
    <col min="14459" max="14459" width="13.85546875" style="8" customWidth="1"/>
    <col min="14460" max="14460" width="11.7109375" style="8" customWidth="1"/>
    <col min="14461" max="14461" width="11.28515625" style="8" bestFit="1" customWidth="1"/>
    <col min="14462" max="14462" width="9.140625" style="8"/>
    <col min="14463" max="14463" width="10.140625" style="8" bestFit="1" customWidth="1"/>
    <col min="14464" max="14712" width="9.140625" style="8"/>
    <col min="14713" max="14713" width="5" style="8" bestFit="1" customWidth="1"/>
    <col min="14714" max="14714" width="68" style="8" bestFit="1" customWidth="1"/>
    <col min="14715" max="14715" width="13.85546875" style="8" customWidth="1"/>
    <col min="14716" max="14716" width="11.7109375" style="8" customWidth="1"/>
    <col min="14717" max="14717" width="11.28515625" style="8" bestFit="1" customWidth="1"/>
    <col min="14718" max="14718" width="9.140625" style="8"/>
    <col min="14719" max="14719" width="10.140625" style="8" bestFit="1" customWidth="1"/>
    <col min="14720" max="14968" width="9.140625" style="8"/>
    <col min="14969" max="14969" width="5" style="8" bestFit="1" customWidth="1"/>
    <col min="14970" max="14970" width="68" style="8" bestFit="1" customWidth="1"/>
    <col min="14971" max="14971" width="13.85546875" style="8" customWidth="1"/>
    <col min="14972" max="14972" width="11.7109375" style="8" customWidth="1"/>
    <col min="14973" max="14973" width="11.28515625" style="8" bestFit="1" customWidth="1"/>
    <col min="14974" max="14974" width="9.140625" style="8"/>
    <col min="14975" max="14975" width="10.140625" style="8" bestFit="1" customWidth="1"/>
    <col min="14976" max="15224" width="9.140625" style="8"/>
    <col min="15225" max="15225" width="5" style="8" bestFit="1" customWidth="1"/>
    <col min="15226" max="15226" width="68" style="8" bestFit="1" customWidth="1"/>
    <col min="15227" max="15227" width="13.85546875" style="8" customWidth="1"/>
    <col min="15228" max="15228" width="11.7109375" style="8" customWidth="1"/>
    <col min="15229" max="15229" width="11.28515625" style="8" bestFit="1" customWidth="1"/>
    <col min="15230" max="15230" width="9.140625" style="8"/>
    <col min="15231" max="15231" width="10.140625" style="8" bestFit="1" customWidth="1"/>
    <col min="15232" max="15480" width="9.140625" style="8"/>
    <col min="15481" max="15481" width="5" style="8" bestFit="1" customWidth="1"/>
    <col min="15482" max="15482" width="68" style="8" bestFit="1" customWidth="1"/>
    <col min="15483" max="15483" width="13.85546875" style="8" customWidth="1"/>
    <col min="15484" max="15484" width="11.7109375" style="8" customWidth="1"/>
    <col min="15485" max="15485" width="11.28515625" style="8" bestFit="1" customWidth="1"/>
    <col min="15486" max="15486" width="9.140625" style="8"/>
    <col min="15487" max="15487" width="10.140625" style="8" bestFit="1" customWidth="1"/>
    <col min="15488" max="15736" width="9.140625" style="8"/>
    <col min="15737" max="15737" width="5" style="8" bestFit="1" customWidth="1"/>
    <col min="15738" max="15738" width="68" style="8" bestFit="1" customWidth="1"/>
    <col min="15739" max="15739" width="13.85546875" style="8" customWidth="1"/>
    <col min="15740" max="15740" width="11.7109375" style="8" customWidth="1"/>
    <col min="15741" max="15741" width="11.28515625" style="8" bestFit="1" customWidth="1"/>
    <col min="15742" max="15742" width="9.140625" style="8"/>
    <col min="15743" max="15743" width="10.140625" style="8" bestFit="1" customWidth="1"/>
    <col min="15744" max="15992" width="9.140625" style="8"/>
    <col min="15993" max="15993" width="5" style="8" bestFit="1" customWidth="1"/>
    <col min="15994" max="15994" width="68" style="8" bestFit="1" customWidth="1"/>
    <col min="15995" max="15995" width="13.85546875" style="8" customWidth="1"/>
    <col min="15996" max="15996" width="11.7109375" style="8" customWidth="1"/>
    <col min="15997" max="15997" width="11.28515625" style="8" bestFit="1" customWidth="1"/>
    <col min="15998" max="15998" width="9.140625" style="8"/>
    <col min="15999" max="15999" width="10.140625" style="8" bestFit="1" customWidth="1"/>
    <col min="16000" max="16384" width="9.140625" style="8"/>
  </cols>
  <sheetData>
    <row r="1" spans="1:15" x14ac:dyDescent="0.25">
      <c r="A1" s="107" t="s">
        <v>160</v>
      </c>
      <c r="B1" s="107"/>
      <c r="C1" s="107"/>
      <c r="D1" s="107"/>
      <c r="E1" s="107"/>
      <c r="F1" s="107"/>
      <c r="G1" s="107"/>
    </row>
    <row r="2" spans="1:15" ht="18.75" x14ac:dyDescent="0.3">
      <c r="A2" s="108" t="s">
        <v>144</v>
      </c>
      <c r="B2" s="108"/>
      <c r="C2" s="108"/>
      <c r="D2" s="108"/>
      <c r="E2" s="108"/>
      <c r="F2" s="108"/>
      <c r="G2" s="108"/>
      <c r="H2" s="53"/>
      <c r="I2" s="53"/>
      <c r="J2" s="53"/>
      <c r="K2" s="53"/>
      <c r="L2" s="53"/>
      <c r="M2" s="53"/>
      <c r="N2" s="53"/>
      <c r="O2" s="53"/>
    </row>
    <row r="3" spans="1:15" ht="18.75" customHeight="1" x14ac:dyDescent="0.3">
      <c r="A3" s="108" t="s">
        <v>0</v>
      </c>
      <c r="B3" s="108"/>
      <c r="C3" s="108"/>
      <c r="D3" s="108"/>
      <c r="E3" s="108"/>
      <c r="F3" s="108"/>
      <c r="G3" s="108"/>
      <c r="H3" s="53"/>
      <c r="I3" s="53"/>
      <c r="J3" s="53"/>
      <c r="K3" s="53"/>
      <c r="L3" s="53"/>
      <c r="M3" s="53"/>
      <c r="N3" s="53"/>
      <c r="O3" s="53"/>
    </row>
    <row r="4" spans="1:15" ht="20.25" customHeight="1" x14ac:dyDescent="0.3">
      <c r="A4" s="108" t="s">
        <v>1</v>
      </c>
      <c r="B4" s="108"/>
      <c r="C4" s="108"/>
      <c r="D4" s="108"/>
      <c r="E4" s="108"/>
      <c r="F4" s="108"/>
      <c r="G4" s="108"/>
      <c r="H4" s="53"/>
      <c r="I4" s="53"/>
      <c r="J4" s="53"/>
      <c r="K4" s="53"/>
      <c r="L4" s="53"/>
      <c r="M4" s="53"/>
      <c r="N4" s="53"/>
      <c r="O4" s="53"/>
    </row>
    <row r="5" spans="1:15" ht="18.75" x14ac:dyDescent="0.25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</row>
    <row r="6" spans="1:15" ht="19.5" thickBot="1" x14ac:dyDescent="0.35">
      <c r="A6" s="55"/>
      <c r="B6" s="56"/>
      <c r="C6" s="57"/>
      <c r="D6" s="57"/>
      <c r="E6" s="57"/>
      <c r="F6" s="57"/>
      <c r="G6" s="57"/>
      <c r="H6" s="57"/>
      <c r="I6" s="57"/>
      <c r="J6" s="58"/>
      <c r="O6" s="59"/>
    </row>
    <row r="7" spans="1:15" ht="17.25" thickTop="1" thickBot="1" x14ac:dyDescent="0.3">
      <c r="A7" s="109" t="s">
        <v>2</v>
      </c>
      <c r="B7" s="111" t="s">
        <v>3</v>
      </c>
      <c r="C7" s="113" t="s">
        <v>161</v>
      </c>
      <c r="D7" s="115" t="s">
        <v>4</v>
      </c>
      <c r="E7" s="116"/>
      <c r="F7" s="116"/>
      <c r="G7" s="117"/>
    </row>
    <row r="8" spans="1:15" ht="52.5" customHeight="1" thickTop="1" thickBot="1" x14ac:dyDescent="0.3">
      <c r="A8" s="110"/>
      <c r="B8" s="112"/>
      <c r="C8" s="114"/>
      <c r="D8" s="60" t="s">
        <v>106</v>
      </c>
      <c r="E8" s="61" t="s">
        <v>5</v>
      </c>
      <c r="F8" s="60" t="s">
        <v>107</v>
      </c>
      <c r="G8" s="60" t="s">
        <v>150</v>
      </c>
    </row>
    <row r="9" spans="1:15" ht="16.5" thickTop="1" thickBot="1" x14ac:dyDescent="0.3">
      <c r="A9" s="62">
        <v>1</v>
      </c>
      <c r="B9" s="63">
        <v>2</v>
      </c>
      <c r="C9" s="64">
        <v>3</v>
      </c>
      <c r="D9" s="65">
        <v>4</v>
      </c>
      <c r="E9" s="66">
        <v>5</v>
      </c>
      <c r="F9" s="65">
        <v>6</v>
      </c>
      <c r="G9" s="65">
        <v>7</v>
      </c>
    </row>
    <row r="10" spans="1:15" ht="19.5" thickTop="1" x14ac:dyDescent="0.25">
      <c r="A10" s="67" t="s">
        <v>6</v>
      </c>
      <c r="B10" s="68" t="s">
        <v>7</v>
      </c>
      <c r="C10" s="69"/>
      <c r="D10" s="70"/>
      <c r="E10" s="71"/>
      <c r="F10" s="72"/>
      <c r="G10" s="72"/>
    </row>
    <row r="11" spans="1:15" x14ac:dyDescent="0.25">
      <c r="A11" s="73"/>
      <c r="B11" s="9" t="s">
        <v>8</v>
      </c>
      <c r="C11" s="34">
        <f>SUM(D11:G11)</f>
        <v>11905898</v>
      </c>
      <c r="D11" s="35"/>
      <c r="E11" s="4">
        <f>11569100-22000+50000</f>
        <v>11597100</v>
      </c>
      <c r="F11" s="2"/>
      <c r="G11" s="2">
        <f>268157-73478+29812+16200+67777+330</f>
        <v>308798</v>
      </c>
    </row>
    <row r="12" spans="1:15" x14ac:dyDescent="0.25">
      <c r="A12" s="74"/>
      <c r="B12" s="9" t="s">
        <v>9</v>
      </c>
      <c r="C12" s="34">
        <f t="shared" ref="C12:C20" si="0">SUM(D12:G12)</f>
        <v>5395000</v>
      </c>
      <c r="D12" s="2"/>
      <c r="E12" s="2">
        <v>5395000</v>
      </c>
      <c r="F12" s="2"/>
      <c r="G12" s="2"/>
    </row>
    <row r="13" spans="1:15" x14ac:dyDescent="0.25">
      <c r="A13" s="73"/>
      <c r="B13" s="10" t="s">
        <v>10</v>
      </c>
      <c r="C13" s="34">
        <f t="shared" si="0"/>
        <v>12000</v>
      </c>
      <c r="D13" s="2"/>
      <c r="E13" s="2">
        <v>12000</v>
      </c>
      <c r="F13" s="2"/>
      <c r="G13" s="2"/>
    </row>
    <row r="14" spans="1:15" x14ac:dyDescent="0.25">
      <c r="A14" s="73"/>
      <c r="B14" s="10" t="s">
        <v>11</v>
      </c>
      <c r="C14" s="34">
        <f t="shared" si="0"/>
        <v>13500</v>
      </c>
      <c r="D14" s="2"/>
      <c r="E14" s="2">
        <v>13500</v>
      </c>
      <c r="F14" s="2"/>
      <c r="G14" s="2"/>
    </row>
    <row r="15" spans="1:15" x14ac:dyDescent="0.25">
      <c r="A15" s="73"/>
      <c r="B15" s="10" t="s">
        <v>12</v>
      </c>
      <c r="C15" s="34">
        <f t="shared" si="0"/>
        <v>14000</v>
      </c>
      <c r="D15" s="2"/>
      <c r="E15" s="2">
        <v>14000</v>
      </c>
      <c r="F15" s="2"/>
      <c r="G15" s="2"/>
    </row>
    <row r="16" spans="1:15" x14ac:dyDescent="0.25">
      <c r="A16" s="75"/>
      <c r="B16" s="10" t="s">
        <v>13</v>
      </c>
      <c r="C16" s="34">
        <f t="shared" si="0"/>
        <v>12000</v>
      </c>
      <c r="D16" s="2"/>
      <c r="E16" s="2">
        <v>12000</v>
      </c>
      <c r="F16" s="2"/>
      <c r="G16" s="2"/>
      <c r="H16" s="76"/>
      <c r="I16" s="76"/>
      <c r="J16" s="76"/>
      <c r="K16" s="76"/>
      <c r="L16" s="76"/>
      <c r="M16" s="76"/>
      <c r="N16" s="76"/>
      <c r="O16" s="76"/>
    </row>
    <row r="17" spans="1:15" s="76" customFormat="1" x14ac:dyDescent="0.25">
      <c r="A17" s="75"/>
      <c r="B17" s="32" t="s">
        <v>154</v>
      </c>
      <c r="C17" s="34">
        <f t="shared" si="0"/>
        <v>30000</v>
      </c>
      <c r="D17" s="2"/>
      <c r="E17" s="4">
        <v>30000</v>
      </c>
      <c r="F17" s="2"/>
      <c r="G17" s="2"/>
    </row>
    <row r="18" spans="1:15" s="76" customFormat="1" ht="30" x14ac:dyDescent="0.25">
      <c r="A18" s="77"/>
      <c r="B18" s="33" t="s">
        <v>142</v>
      </c>
      <c r="C18" s="36">
        <f t="shared" si="0"/>
        <v>500000</v>
      </c>
      <c r="D18" s="37"/>
      <c r="E18" s="38">
        <f>700000-200000</f>
        <v>500000</v>
      </c>
      <c r="F18" s="37"/>
      <c r="G18" s="37"/>
      <c r="H18" s="8"/>
      <c r="I18" s="8"/>
      <c r="J18" s="8"/>
      <c r="K18" s="8"/>
      <c r="L18" s="8"/>
      <c r="M18" s="8"/>
      <c r="N18" s="8"/>
      <c r="O18" s="8"/>
    </row>
    <row r="19" spans="1:15" x14ac:dyDescent="0.25">
      <c r="A19" s="75"/>
      <c r="B19" s="11" t="s">
        <v>66</v>
      </c>
      <c r="C19" s="34">
        <f t="shared" si="0"/>
        <v>1228568</v>
      </c>
      <c r="D19" s="2"/>
      <c r="E19" s="39">
        <f>320000-20000</f>
        <v>300000</v>
      </c>
      <c r="F19" s="1"/>
      <c r="G19" s="1">
        <f>27567+901001</f>
        <v>928568</v>
      </c>
    </row>
    <row r="20" spans="1:15" ht="15.75" thickBot="1" x14ac:dyDescent="0.3">
      <c r="A20" s="78"/>
      <c r="B20" s="13" t="s">
        <v>64</v>
      </c>
      <c r="C20" s="40">
        <f t="shared" si="0"/>
        <v>20000</v>
      </c>
      <c r="D20" s="41"/>
      <c r="E20" s="42">
        <v>20000</v>
      </c>
      <c r="F20" s="43"/>
      <c r="G20" s="43"/>
    </row>
    <row r="21" spans="1:15" ht="16.5" thickTop="1" thickBot="1" x14ac:dyDescent="0.3">
      <c r="A21" s="79"/>
      <c r="B21" s="80" t="s">
        <v>14</v>
      </c>
      <c r="C21" s="81">
        <f>SUM(C11+SUM(C13:C20))</f>
        <v>13735966</v>
      </c>
      <c r="D21" s="82">
        <f>SUM(D11+SUM(D13:D20))</f>
        <v>0</v>
      </c>
      <c r="E21" s="82">
        <f>SUM(E11+SUM(E13:E20))</f>
        <v>12498600</v>
      </c>
      <c r="F21" s="82">
        <f>SUM(F11+SUM(F13:F20))</f>
        <v>0</v>
      </c>
      <c r="G21" s="82">
        <f>SUM(G11+SUM(G13:G20))</f>
        <v>1237366</v>
      </c>
    </row>
    <row r="22" spans="1:15" ht="19.5" thickTop="1" x14ac:dyDescent="0.25">
      <c r="A22" s="83"/>
      <c r="B22" s="14" t="s">
        <v>15</v>
      </c>
      <c r="C22" s="34">
        <f>SUM(D22:G22)</f>
        <v>1039200</v>
      </c>
      <c r="D22" s="48">
        <v>22000</v>
      </c>
      <c r="E22" s="2">
        <v>67200</v>
      </c>
      <c r="F22" s="2">
        <v>950000</v>
      </c>
      <c r="G22" s="2"/>
    </row>
    <row r="23" spans="1:15" ht="18.75" x14ac:dyDescent="0.25">
      <c r="A23" s="83"/>
      <c r="B23" s="14"/>
      <c r="C23" s="34"/>
      <c r="D23" s="44"/>
      <c r="E23" s="4"/>
      <c r="F23" s="2"/>
      <c r="G23" s="2"/>
    </row>
    <row r="24" spans="1:15" ht="18.75" x14ac:dyDescent="0.25">
      <c r="A24" s="84" t="s">
        <v>16</v>
      </c>
      <c r="B24" s="15" t="s">
        <v>17</v>
      </c>
      <c r="C24" s="34"/>
      <c r="D24" s="1"/>
      <c r="E24" s="39"/>
      <c r="F24" s="1"/>
      <c r="G24" s="1"/>
    </row>
    <row r="25" spans="1:15" x14ac:dyDescent="0.25">
      <c r="A25" s="84"/>
      <c r="B25" s="9" t="s">
        <v>18</v>
      </c>
      <c r="C25" s="34">
        <f t="shared" ref="C25:C33" si="1">SUM(D25:G25)</f>
        <v>0</v>
      </c>
      <c r="D25" s="44"/>
      <c r="E25" s="4"/>
      <c r="F25" s="2"/>
      <c r="G25" s="2"/>
    </row>
    <row r="26" spans="1:15" x14ac:dyDescent="0.25">
      <c r="A26" s="85"/>
      <c r="B26" s="16" t="s">
        <v>102</v>
      </c>
      <c r="C26" s="34">
        <f t="shared" si="1"/>
        <v>20000</v>
      </c>
      <c r="D26" s="44"/>
      <c r="E26" s="4">
        <v>20000</v>
      </c>
      <c r="F26" s="2"/>
      <c r="G26" s="2"/>
    </row>
    <row r="27" spans="1:15" x14ac:dyDescent="0.25">
      <c r="A27" s="85"/>
      <c r="B27" s="16" t="s">
        <v>100</v>
      </c>
      <c r="C27" s="34">
        <f t="shared" si="1"/>
        <v>20000</v>
      </c>
      <c r="D27" s="44"/>
      <c r="E27" s="4">
        <v>20000</v>
      </c>
      <c r="F27" s="2"/>
      <c r="G27" s="2"/>
    </row>
    <row r="28" spans="1:15" ht="30" x14ac:dyDescent="0.25">
      <c r="A28" s="85"/>
      <c r="B28" s="16" t="s">
        <v>114</v>
      </c>
      <c r="C28" s="34">
        <f t="shared" si="1"/>
        <v>19000</v>
      </c>
      <c r="D28" s="44"/>
      <c r="E28" s="4">
        <v>19000</v>
      </c>
      <c r="F28" s="2"/>
      <c r="G28" s="2"/>
    </row>
    <row r="29" spans="1:15" x14ac:dyDescent="0.25">
      <c r="A29" s="85"/>
      <c r="B29" s="16" t="s">
        <v>115</v>
      </c>
      <c r="C29" s="34">
        <f t="shared" si="1"/>
        <v>5000</v>
      </c>
      <c r="D29" s="44"/>
      <c r="E29" s="4">
        <v>5000</v>
      </c>
      <c r="F29" s="2"/>
      <c r="G29" s="2"/>
    </row>
    <row r="30" spans="1:15" ht="30" x14ac:dyDescent="0.25">
      <c r="A30" s="84"/>
      <c r="B30" s="17" t="s">
        <v>19</v>
      </c>
      <c r="C30" s="34">
        <f t="shared" si="1"/>
        <v>0</v>
      </c>
      <c r="D30" s="2"/>
      <c r="E30" s="4"/>
      <c r="F30" s="2"/>
      <c r="G30" s="2"/>
    </row>
    <row r="31" spans="1:15" ht="28.5" x14ac:dyDescent="0.25">
      <c r="A31" s="84"/>
      <c r="B31" s="18" t="s">
        <v>71</v>
      </c>
      <c r="C31" s="34">
        <f t="shared" si="1"/>
        <v>80000</v>
      </c>
      <c r="D31" s="2"/>
      <c r="E31" s="4">
        <v>80000</v>
      </c>
      <c r="F31" s="2"/>
      <c r="G31" s="2"/>
    </row>
    <row r="32" spans="1:15" x14ac:dyDescent="0.25">
      <c r="A32" s="86"/>
      <c r="B32" s="45" t="s">
        <v>156</v>
      </c>
      <c r="C32" s="34">
        <f t="shared" si="1"/>
        <v>150000</v>
      </c>
      <c r="D32" s="2"/>
      <c r="E32" s="4">
        <v>150000</v>
      </c>
      <c r="F32" s="2"/>
      <c r="G32" s="2"/>
    </row>
    <row r="33" spans="1:7" ht="29.25" thickBot="1" x14ac:dyDescent="0.3">
      <c r="A33" s="87"/>
      <c r="B33" s="18" t="s">
        <v>103</v>
      </c>
      <c r="C33" s="34">
        <f t="shared" si="1"/>
        <v>74415</v>
      </c>
      <c r="D33" s="46"/>
      <c r="E33" s="47">
        <v>66000</v>
      </c>
      <c r="F33" s="46"/>
      <c r="G33" s="46">
        <v>8415</v>
      </c>
    </row>
    <row r="34" spans="1:7" ht="16.5" thickTop="1" thickBot="1" x14ac:dyDescent="0.3">
      <c r="A34" s="88"/>
      <c r="B34" s="89" t="s">
        <v>14</v>
      </c>
      <c r="C34" s="90">
        <f t="shared" ref="C34" si="2">SUM(C25:C33)</f>
        <v>368415</v>
      </c>
      <c r="D34" s="82">
        <f>SUM(D25:D33)</f>
        <v>0</v>
      </c>
      <c r="E34" s="91">
        <f t="shared" ref="E34:G34" si="3">SUM(E25:E33)</f>
        <v>360000</v>
      </c>
      <c r="F34" s="82">
        <f t="shared" si="3"/>
        <v>0</v>
      </c>
      <c r="G34" s="82">
        <f t="shared" si="3"/>
        <v>8415</v>
      </c>
    </row>
    <row r="35" spans="1:7" ht="19.5" thickTop="1" x14ac:dyDescent="0.25">
      <c r="A35" s="83" t="s">
        <v>20</v>
      </c>
      <c r="B35" s="19" t="s">
        <v>21</v>
      </c>
      <c r="C35" s="92"/>
      <c r="D35" s="2"/>
      <c r="E35" s="4"/>
      <c r="F35" s="2"/>
      <c r="G35" s="2"/>
    </row>
    <row r="36" spans="1:7" x14ac:dyDescent="0.25">
      <c r="A36" s="49"/>
      <c r="B36" s="20" t="s">
        <v>98</v>
      </c>
      <c r="C36" s="34">
        <f>SUM(D36:G36)</f>
        <v>34943</v>
      </c>
      <c r="D36" s="2"/>
      <c r="E36" s="4">
        <v>34943</v>
      </c>
      <c r="F36" s="2"/>
      <c r="G36" s="2"/>
    </row>
    <row r="37" spans="1:7" ht="16.5" customHeight="1" x14ac:dyDescent="0.25">
      <c r="A37" s="49"/>
      <c r="B37" s="21" t="s">
        <v>89</v>
      </c>
      <c r="C37" s="34">
        <f t="shared" ref="C37:C76" si="4">SUM(D37:G37)</f>
        <v>30832</v>
      </c>
      <c r="D37" s="2"/>
      <c r="E37" s="4">
        <v>30832</v>
      </c>
      <c r="F37" s="2"/>
      <c r="G37" s="2"/>
    </row>
    <row r="38" spans="1:7" ht="16.5" customHeight="1" x14ac:dyDescent="0.25">
      <c r="A38" s="49"/>
      <c r="B38" s="21" t="s">
        <v>97</v>
      </c>
      <c r="C38" s="34">
        <f t="shared" si="4"/>
        <v>35724</v>
      </c>
      <c r="D38" s="2"/>
      <c r="E38" s="4">
        <v>35724</v>
      </c>
      <c r="F38" s="2"/>
      <c r="G38" s="2"/>
    </row>
    <row r="39" spans="1:7" ht="16.5" customHeight="1" x14ac:dyDescent="0.25">
      <c r="A39" s="49"/>
      <c r="B39" s="21" t="s">
        <v>76</v>
      </c>
      <c r="C39" s="34">
        <f t="shared" si="4"/>
        <v>32982</v>
      </c>
      <c r="D39" s="2"/>
      <c r="E39" s="4">
        <v>32982</v>
      </c>
      <c r="F39" s="2"/>
      <c r="G39" s="2"/>
    </row>
    <row r="40" spans="1:7" ht="16.5" customHeight="1" x14ac:dyDescent="0.25">
      <c r="A40" s="49"/>
      <c r="B40" s="21" t="s">
        <v>90</v>
      </c>
      <c r="C40" s="34">
        <f t="shared" si="4"/>
        <v>61700</v>
      </c>
      <c r="D40" s="2"/>
      <c r="E40" s="4">
        <v>61700</v>
      </c>
      <c r="F40" s="2"/>
      <c r="G40" s="2"/>
    </row>
    <row r="41" spans="1:7" ht="16.5" customHeight="1" x14ac:dyDescent="0.25">
      <c r="A41" s="49"/>
      <c r="B41" s="21" t="s">
        <v>134</v>
      </c>
      <c r="C41" s="34">
        <f t="shared" si="4"/>
        <v>29885</v>
      </c>
      <c r="D41" s="2"/>
      <c r="E41" s="4">
        <v>29885</v>
      </c>
      <c r="F41" s="2"/>
      <c r="G41" s="2"/>
    </row>
    <row r="42" spans="1:7" ht="16.5" customHeight="1" x14ac:dyDescent="0.25">
      <c r="A42" s="49"/>
      <c r="B42" s="21" t="s">
        <v>72</v>
      </c>
      <c r="C42" s="34">
        <f t="shared" si="4"/>
        <v>25594</v>
      </c>
      <c r="D42" s="2"/>
      <c r="E42" s="4">
        <v>25594</v>
      </c>
      <c r="F42" s="2"/>
      <c r="G42" s="2"/>
    </row>
    <row r="43" spans="1:7" ht="16.5" customHeight="1" x14ac:dyDescent="0.25">
      <c r="A43" s="49"/>
      <c r="B43" s="21" t="s">
        <v>85</v>
      </c>
      <c r="C43" s="34">
        <f t="shared" si="4"/>
        <v>55645</v>
      </c>
      <c r="D43" s="2"/>
      <c r="E43" s="4">
        <v>55645</v>
      </c>
      <c r="F43" s="2"/>
      <c r="G43" s="2"/>
    </row>
    <row r="44" spans="1:7" ht="16.5" customHeight="1" x14ac:dyDescent="0.25">
      <c r="A44" s="49"/>
      <c r="B44" s="21" t="s">
        <v>86</v>
      </c>
      <c r="C44" s="34">
        <f t="shared" si="4"/>
        <v>46581</v>
      </c>
      <c r="D44" s="2"/>
      <c r="E44" s="4">
        <v>46581</v>
      </c>
      <c r="F44" s="2"/>
      <c r="G44" s="2"/>
    </row>
    <row r="45" spans="1:7" ht="16.5" customHeight="1" x14ac:dyDescent="0.25">
      <c r="A45" s="49"/>
      <c r="B45" s="21" t="s">
        <v>79</v>
      </c>
      <c r="C45" s="34">
        <f t="shared" si="4"/>
        <v>14597</v>
      </c>
      <c r="D45" s="2"/>
      <c r="E45" s="4">
        <v>14597</v>
      </c>
      <c r="F45" s="2"/>
      <c r="G45" s="2"/>
    </row>
    <row r="46" spans="1:7" x14ac:dyDescent="0.25">
      <c r="A46" s="49"/>
      <c r="B46" s="21" t="s">
        <v>75</v>
      </c>
      <c r="C46" s="34">
        <f t="shared" si="4"/>
        <v>15079</v>
      </c>
      <c r="D46" s="2"/>
      <c r="E46" s="4">
        <v>15079</v>
      </c>
      <c r="F46" s="2"/>
      <c r="G46" s="2"/>
    </row>
    <row r="47" spans="1:7" ht="16.5" customHeight="1" x14ac:dyDescent="0.25">
      <c r="A47" s="49"/>
      <c r="B47" s="21" t="s">
        <v>81</v>
      </c>
      <c r="C47" s="34">
        <f t="shared" si="4"/>
        <v>31142</v>
      </c>
      <c r="D47" s="2"/>
      <c r="E47" s="4">
        <v>31142</v>
      </c>
      <c r="F47" s="2"/>
      <c r="G47" s="2"/>
    </row>
    <row r="48" spans="1:7" x14ac:dyDescent="0.25">
      <c r="A48" s="49"/>
      <c r="B48" s="21" t="s">
        <v>87</v>
      </c>
      <c r="C48" s="34">
        <f t="shared" si="4"/>
        <v>49520</v>
      </c>
      <c r="D48" s="2"/>
      <c r="E48" s="4">
        <v>49520</v>
      </c>
      <c r="F48" s="2"/>
      <c r="G48" s="2"/>
    </row>
    <row r="49" spans="1:7" x14ac:dyDescent="0.25">
      <c r="A49" s="49"/>
      <c r="B49" s="21" t="s">
        <v>95</v>
      </c>
      <c r="C49" s="34">
        <f t="shared" si="4"/>
        <v>32659</v>
      </c>
      <c r="D49" s="2"/>
      <c r="E49" s="4">
        <v>32659</v>
      </c>
      <c r="F49" s="2"/>
      <c r="G49" s="2"/>
    </row>
    <row r="50" spans="1:7" x14ac:dyDescent="0.25">
      <c r="A50" s="49"/>
      <c r="B50" s="21" t="s">
        <v>131</v>
      </c>
      <c r="C50" s="34">
        <f t="shared" si="4"/>
        <v>17356</v>
      </c>
      <c r="D50" s="2"/>
      <c r="E50" s="4">
        <v>17356</v>
      </c>
      <c r="F50" s="2"/>
      <c r="G50" s="2"/>
    </row>
    <row r="51" spans="1:7" x14ac:dyDescent="0.25">
      <c r="A51" s="49"/>
      <c r="B51" s="21" t="s">
        <v>74</v>
      </c>
      <c r="C51" s="34">
        <f t="shared" si="4"/>
        <v>19401</v>
      </c>
      <c r="D51" s="2"/>
      <c r="E51" s="4">
        <v>19401</v>
      </c>
      <c r="F51" s="2"/>
      <c r="G51" s="2"/>
    </row>
    <row r="52" spans="1:7" x14ac:dyDescent="0.25">
      <c r="A52" s="49"/>
      <c r="B52" s="21" t="s">
        <v>92</v>
      </c>
      <c r="C52" s="34">
        <f t="shared" si="4"/>
        <v>35392</v>
      </c>
      <c r="D52" s="2"/>
      <c r="E52" s="4">
        <v>35392</v>
      </c>
      <c r="F52" s="2"/>
      <c r="G52" s="2"/>
    </row>
    <row r="53" spans="1:7" x14ac:dyDescent="0.25">
      <c r="A53" s="49"/>
      <c r="B53" s="21" t="s">
        <v>84</v>
      </c>
      <c r="C53" s="34">
        <f t="shared" si="4"/>
        <v>55713</v>
      </c>
      <c r="D53" s="2"/>
      <c r="E53" s="4">
        <v>55713</v>
      </c>
      <c r="F53" s="2"/>
      <c r="G53" s="2"/>
    </row>
    <row r="54" spans="1:7" x14ac:dyDescent="0.25">
      <c r="A54" s="49"/>
      <c r="B54" s="21" t="s">
        <v>96</v>
      </c>
      <c r="C54" s="34">
        <f t="shared" si="4"/>
        <v>28870</v>
      </c>
      <c r="D54" s="2"/>
      <c r="E54" s="4">
        <v>28870</v>
      </c>
      <c r="F54" s="2"/>
      <c r="G54" s="2"/>
    </row>
    <row r="55" spans="1:7" x14ac:dyDescent="0.25">
      <c r="A55" s="49"/>
      <c r="B55" s="21" t="s">
        <v>94</v>
      </c>
      <c r="C55" s="34">
        <f t="shared" si="4"/>
        <v>45472</v>
      </c>
      <c r="D55" s="2"/>
      <c r="E55" s="4">
        <v>45472</v>
      </c>
      <c r="F55" s="2"/>
      <c r="G55" s="2"/>
    </row>
    <row r="56" spans="1:7" x14ac:dyDescent="0.25">
      <c r="A56" s="49"/>
      <c r="B56" s="21" t="s">
        <v>109</v>
      </c>
      <c r="C56" s="34">
        <f t="shared" si="4"/>
        <v>16039</v>
      </c>
      <c r="D56" s="2"/>
      <c r="E56" s="4">
        <v>16039</v>
      </c>
      <c r="F56" s="2"/>
      <c r="G56" s="2"/>
    </row>
    <row r="57" spans="1:7" x14ac:dyDescent="0.25">
      <c r="A57" s="49"/>
      <c r="B57" s="21" t="s">
        <v>77</v>
      </c>
      <c r="C57" s="34">
        <f t="shared" si="4"/>
        <v>31342</v>
      </c>
      <c r="D57" s="2"/>
      <c r="E57" s="4">
        <v>31342</v>
      </c>
      <c r="F57" s="2"/>
      <c r="G57" s="2"/>
    </row>
    <row r="58" spans="1:7" x14ac:dyDescent="0.25">
      <c r="A58" s="49"/>
      <c r="B58" s="21" t="s">
        <v>83</v>
      </c>
      <c r="C58" s="34">
        <f t="shared" si="4"/>
        <v>7941</v>
      </c>
      <c r="D58" s="2"/>
      <c r="E58" s="4">
        <v>7941</v>
      </c>
      <c r="F58" s="2"/>
      <c r="G58" s="2"/>
    </row>
    <row r="59" spans="1:7" x14ac:dyDescent="0.25">
      <c r="A59" s="49"/>
      <c r="B59" s="21" t="s">
        <v>93</v>
      </c>
      <c r="C59" s="34">
        <f t="shared" si="4"/>
        <v>34197</v>
      </c>
      <c r="D59" s="2"/>
      <c r="E59" s="4">
        <v>34197</v>
      </c>
      <c r="F59" s="2"/>
      <c r="G59" s="2"/>
    </row>
    <row r="60" spans="1:7" x14ac:dyDescent="0.25">
      <c r="A60" s="49"/>
      <c r="B60" s="21" t="s">
        <v>129</v>
      </c>
      <c r="C60" s="34">
        <f t="shared" si="4"/>
        <v>21042</v>
      </c>
      <c r="D60" s="2"/>
      <c r="E60" s="4">
        <v>21042</v>
      </c>
      <c r="F60" s="2"/>
      <c r="G60" s="2"/>
    </row>
    <row r="61" spans="1:7" x14ac:dyDescent="0.25">
      <c r="A61" s="49"/>
      <c r="B61" s="21" t="s">
        <v>80</v>
      </c>
      <c r="C61" s="34">
        <f t="shared" si="4"/>
        <v>30814</v>
      </c>
      <c r="D61" s="2"/>
      <c r="E61" s="4">
        <v>30814</v>
      </c>
      <c r="F61" s="2"/>
      <c r="G61" s="2"/>
    </row>
    <row r="62" spans="1:7" x14ac:dyDescent="0.25">
      <c r="A62" s="49"/>
      <c r="B62" s="21" t="s">
        <v>88</v>
      </c>
      <c r="C62" s="34">
        <f t="shared" si="4"/>
        <v>34843</v>
      </c>
      <c r="D62" s="2"/>
      <c r="E62" s="4">
        <v>34843</v>
      </c>
      <c r="F62" s="2"/>
      <c r="G62" s="2"/>
    </row>
    <row r="63" spans="1:7" x14ac:dyDescent="0.25">
      <c r="A63" s="49"/>
      <c r="B63" s="21" t="s">
        <v>128</v>
      </c>
      <c r="C63" s="34">
        <f t="shared" si="4"/>
        <v>5700</v>
      </c>
      <c r="D63" s="2"/>
      <c r="E63" s="4">
        <v>5700</v>
      </c>
      <c r="F63" s="2"/>
      <c r="G63" s="2"/>
    </row>
    <row r="64" spans="1:7" x14ac:dyDescent="0.25">
      <c r="A64" s="49"/>
      <c r="B64" s="21" t="s">
        <v>82</v>
      </c>
      <c r="C64" s="34">
        <f t="shared" si="4"/>
        <v>13409</v>
      </c>
      <c r="D64" s="2"/>
      <c r="E64" s="4">
        <v>13409</v>
      </c>
      <c r="F64" s="2"/>
      <c r="G64" s="2"/>
    </row>
    <row r="65" spans="1:7" x14ac:dyDescent="0.25">
      <c r="A65" s="49"/>
      <c r="B65" s="21" t="s">
        <v>130</v>
      </c>
      <c r="C65" s="34">
        <f t="shared" si="4"/>
        <v>18065</v>
      </c>
      <c r="D65" s="2"/>
      <c r="E65" s="4">
        <v>18065</v>
      </c>
      <c r="F65" s="2"/>
      <c r="G65" s="2"/>
    </row>
    <row r="66" spans="1:7" x14ac:dyDescent="0.25">
      <c r="A66" s="49"/>
      <c r="B66" s="21" t="s">
        <v>91</v>
      </c>
      <c r="C66" s="34">
        <f t="shared" si="4"/>
        <v>48120</v>
      </c>
      <c r="D66" s="2"/>
      <c r="E66" s="4">
        <v>48120</v>
      </c>
      <c r="F66" s="2"/>
      <c r="G66" s="2"/>
    </row>
    <row r="67" spans="1:7" x14ac:dyDescent="0.25">
      <c r="A67" s="49"/>
      <c r="B67" s="21" t="s">
        <v>78</v>
      </c>
      <c r="C67" s="34">
        <f t="shared" si="4"/>
        <v>22822</v>
      </c>
      <c r="D67" s="2"/>
      <c r="E67" s="4">
        <v>22822</v>
      </c>
      <c r="F67" s="2"/>
      <c r="G67" s="2"/>
    </row>
    <row r="68" spans="1:7" x14ac:dyDescent="0.25">
      <c r="A68" s="49"/>
      <c r="B68" s="21" t="s">
        <v>99</v>
      </c>
      <c r="C68" s="34">
        <f t="shared" si="4"/>
        <v>11092</v>
      </c>
      <c r="D68" s="2"/>
      <c r="E68" s="4">
        <v>11092</v>
      </c>
      <c r="F68" s="2"/>
      <c r="G68" s="2"/>
    </row>
    <row r="69" spans="1:7" x14ac:dyDescent="0.25">
      <c r="A69" s="49"/>
      <c r="B69" s="21" t="s">
        <v>73</v>
      </c>
      <c r="C69" s="34">
        <f t="shared" si="4"/>
        <v>56005</v>
      </c>
      <c r="D69" s="2"/>
      <c r="E69" s="4">
        <v>56005</v>
      </c>
      <c r="F69" s="2"/>
      <c r="G69" s="2"/>
    </row>
    <row r="70" spans="1:7" x14ac:dyDescent="0.25">
      <c r="A70" s="49"/>
      <c r="B70" s="21" t="s">
        <v>133</v>
      </c>
      <c r="C70" s="34">
        <f t="shared" si="4"/>
        <v>52191</v>
      </c>
      <c r="D70" s="2"/>
      <c r="E70" s="4">
        <v>52191</v>
      </c>
      <c r="F70" s="2"/>
      <c r="G70" s="2"/>
    </row>
    <row r="71" spans="1:7" x14ac:dyDescent="0.25">
      <c r="A71" s="49"/>
      <c r="B71" s="21" t="s">
        <v>22</v>
      </c>
      <c r="C71" s="34">
        <f t="shared" si="4"/>
        <v>821534</v>
      </c>
      <c r="D71" s="2"/>
      <c r="E71" s="4">
        <f>689000+50000+50000</f>
        <v>789000</v>
      </c>
      <c r="F71" s="2"/>
      <c r="G71" s="2">
        <v>32534</v>
      </c>
    </row>
    <row r="72" spans="1:7" x14ac:dyDescent="0.25">
      <c r="A72" s="49"/>
      <c r="B72" s="21" t="s">
        <v>146</v>
      </c>
      <c r="C72" s="34">
        <f t="shared" si="4"/>
        <v>230000</v>
      </c>
      <c r="D72" s="2"/>
      <c r="E72" s="4">
        <f>250000-20000</f>
        <v>230000</v>
      </c>
      <c r="F72" s="2"/>
      <c r="G72" s="2"/>
    </row>
    <row r="73" spans="1:7" ht="30" x14ac:dyDescent="0.25">
      <c r="A73" s="49"/>
      <c r="B73" s="21" t="s">
        <v>148</v>
      </c>
      <c r="C73" s="34">
        <f t="shared" si="4"/>
        <v>300000</v>
      </c>
      <c r="D73" s="2"/>
      <c r="E73" s="4">
        <v>300000</v>
      </c>
      <c r="F73" s="2"/>
      <c r="G73" s="2"/>
    </row>
    <row r="74" spans="1:7" x14ac:dyDescent="0.25">
      <c r="A74" s="49"/>
      <c r="B74" s="21" t="s">
        <v>132</v>
      </c>
      <c r="C74" s="34">
        <f t="shared" si="4"/>
        <v>170000</v>
      </c>
      <c r="D74" s="2"/>
      <c r="E74" s="4">
        <v>170000</v>
      </c>
      <c r="F74" s="2"/>
      <c r="G74" s="2"/>
    </row>
    <row r="75" spans="1:7" ht="30" x14ac:dyDescent="0.25">
      <c r="A75" s="49"/>
      <c r="B75" s="7" t="s">
        <v>110</v>
      </c>
      <c r="C75" s="34">
        <f t="shared" si="4"/>
        <v>222372</v>
      </c>
      <c r="D75" s="2"/>
      <c r="E75" s="4">
        <v>222372</v>
      </c>
      <c r="F75" s="2"/>
      <c r="G75" s="2"/>
    </row>
    <row r="76" spans="1:7" ht="15.75" thickBot="1" x14ac:dyDescent="0.3">
      <c r="A76" s="49"/>
      <c r="B76" s="7" t="s">
        <v>101</v>
      </c>
      <c r="C76" s="34">
        <f t="shared" si="4"/>
        <v>60000</v>
      </c>
      <c r="D76" s="1"/>
      <c r="E76" s="4">
        <v>60000</v>
      </c>
      <c r="F76" s="2"/>
      <c r="G76" s="2"/>
    </row>
    <row r="77" spans="1:7" ht="16.5" thickTop="1" thickBot="1" x14ac:dyDescent="0.3">
      <c r="A77" s="93"/>
      <c r="B77" s="89" t="s">
        <v>14</v>
      </c>
      <c r="C77" s="94">
        <f t="shared" ref="C77:G77" si="5">SUM(C36:C76)</f>
        <v>2906615</v>
      </c>
      <c r="D77" s="95">
        <f t="shared" si="5"/>
        <v>0</v>
      </c>
      <c r="E77" s="96">
        <f t="shared" si="5"/>
        <v>2874081</v>
      </c>
      <c r="F77" s="95">
        <f t="shared" si="5"/>
        <v>0</v>
      </c>
      <c r="G77" s="95">
        <f t="shared" si="5"/>
        <v>32534</v>
      </c>
    </row>
    <row r="78" spans="1:7" ht="19.5" thickTop="1" x14ac:dyDescent="0.3">
      <c r="A78" s="97" t="s">
        <v>23</v>
      </c>
      <c r="B78" s="22" t="s">
        <v>24</v>
      </c>
      <c r="C78" s="92"/>
      <c r="D78" s="2"/>
      <c r="E78" s="4"/>
      <c r="F78" s="2"/>
      <c r="G78" s="2"/>
    </row>
    <row r="79" spans="1:7" x14ac:dyDescent="0.25">
      <c r="A79" s="49"/>
      <c r="B79" s="7" t="s">
        <v>25</v>
      </c>
      <c r="C79" s="34">
        <f>SUM(D79:G79)</f>
        <v>16800</v>
      </c>
      <c r="D79" s="2"/>
      <c r="E79" s="4">
        <v>16800</v>
      </c>
      <c r="F79" s="2"/>
      <c r="G79" s="2"/>
    </row>
    <row r="80" spans="1:7" x14ac:dyDescent="0.25">
      <c r="A80" s="49"/>
      <c r="B80" s="7" t="s">
        <v>116</v>
      </c>
      <c r="C80" s="34">
        <f t="shared" ref="C80:C88" si="6">SUM(D80:G80)</f>
        <v>32025</v>
      </c>
      <c r="D80" s="2"/>
      <c r="E80" s="4">
        <v>32025</v>
      </c>
      <c r="F80" s="2"/>
      <c r="G80" s="2"/>
    </row>
    <row r="81" spans="1:8" x14ac:dyDescent="0.25">
      <c r="A81" s="49"/>
      <c r="B81" s="7" t="s">
        <v>117</v>
      </c>
      <c r="C81" s="34">
        <f t="shared" si="6"/>
        <v>22400</v>
      </c>
      <c r="D81" s="2"/>
      <c r="E81" s="4">
        <v>22400</v>
      </c>
      <c r="F81" s="2"/>
      <c r="G81" s="2"/>
    </row>
    <row r="82" spans="1:8" x14ac:dyDescent="0.25">
      <c r="A82" s="49"/>
      <c r="B82" s="23" t="s">
        <v>143</v>
      </c>
      <c r="C82" s="34">
        <f t="shared" si="6"/>
        <v>570000</v>
      </c>
      <c r="D82" s="2"/>
      <c r="E82" s="4">
        <v>570000</v>
      </c>
      <c r="F82" s="2"/>
      <c r="G82" s="2"/>
    </row>
    <row r="83" spans="1:8" x14ac:dyDescent="0.25">
      <c r="A83" s="49"/>
      <c r="B83" s="6" t="s">
        <v>26</v>
      </c>
      <c r="C83" s="34">
        <f t="shared" si="6"/>
        <v>788340</v>
      </c>
      <c r="D83" s="1">
        <f>SUM(D84:D88)</f>
        <v>36840</v>
      </c>
      <c r="E83" s="39">
        <f>SUM(E84:E88)</f>
        <v>751500</v>
      </c>
      <c r="F83" s="1">
        <f>SUM(F84:F88)</f>
        <v>0</v>
      </c>
      <c r="G83" s="1">
        <f>SUM(G84:G88)</f>
        <v>0</v>
      </c>
    </row>
    <row r="84" spans="1:8" ht="30" x14ac:dyDescent="0.25">
      <c r="A84" s="49"/>
      <c r="B84" s="23" t="s">
        <v>67</v>
      </c>
      <c r="C84" s="34">
        <f t="shared" si="6"/>
        <v>80000</v>
      </c>
      <c r="D84" s="2"/>
      <c r="E84" s="4">
        <v>80000</v>
      </c>
      <c r="F84" s="2"/>
      <c r="G84" s="2"/>
    </row>
    <row r="85" spans="1:8" x14ac:dyDescent="0.25">
      <c r="A85" s="49"/>
      <c r="B85" s="23" t="s">
        <v>108</v>
      </c>
      <c r="C85" s="34">
        <f t="shared" si="6"/>
        <v>5000</v>
      </c>
      <c r="D85" s="2"/>
      <c r="E85" s="4">
        <v>5000</v>
      </c>
      <c r="F85" s="2"/>
      <c r="G85" s="2"/>
    </row>
    <row r="86" spans="1:8" ht="30" x14ac:dyDescent="0.25">
      <c r="A86" s="49"/>
      <c r="B86" s="7" t="s">
        <v>145</v>
      </c>
      <c r="C86" s="34">
        <f t="shared" si="6"/>
        <v>443340</v>
      </c>
      <c r="D86" s="2">
        <v>36840</v>
      </c>
      <c r="E86" s="4">
        <f>786500-200000-200000+120000+30000-130000</f>
        <v>406500</v>
      </c>
      <c r="F86" s="2"/>
      <c r="G86" s="2"/>
      <c r="H86" s="98"/>
    </row>
    <row r="87" spans="1:8" ht="30" x14ac:dyDescent="0.25">
      <c r="A87" s="49"/>
      <c r="B87" s="7" t="s">
        <v>120</v>
      </c>
      <c r="C87" s="34">
        <f t="shared" si="6"/>
        <v>100000</v>
      </c>
      <c r="D87" s="2"/>
      <c r="E87" s="4">
        <f>200000-50000-50000</f>
        <v>100000</v>
      </c>
      <c r="F87" s="2"/>
      <c r="G87" s="2"/>
    </row>
    <row r="88" spans="1:8" ht="15.75" thickBot="1" x14ac:dyDescent="0.3">
      <c r="A88" s="49"/>
      <c r="B88" s="7" t="s">
        <v>158</v>
      </c>
      <c r="C88" s="34">
        <f t="shared" si="6"/>
        <v>160000</v>
      </c>
      <c r="D88" s="2"/>
      <c r="E88" s="50">
        <f>130000+30000</f>
        <v>160000</v>
      </c>
      <c r="F88" s="12"/>
      <c r="G88" s="12"/>
    </row>
    <row r="89" spans="1:8" ht="16.5" thickTop="1" thickBot="1" x14ac:dyDescent="0.3">
      <c r="A89" s="93"/>
      <c r="B89" s="89" t="s">
        <v>14</v>
      </c>
      <c r="C89" s="94">
        <f>SUM(C79:C83)</f>
        <v>1429565</v>
      </c>
      <c r="D89" s="95">
        <f>SUM(D79:D83)</f>
        <v>36840</v>
      </c>
      <c r="E89" s="95">
        <f>SUM(E79:E83)</f>
        <v>1392725</v>
      </c>
      <c r="F89" s="95">
        <f>SUM(F79:F83)</f>
        <v>0</v>
      </c>
      <c r="G89" s="95">
        <f>SUM(G79:G83)</f>
        <v>0</v>
      </c>
    </row>
    <row r="90" spans="1:8" ht="19.5" thickTop="1" x14ac:dyDescent="0.3">
      <c r="A90" s="97" t="s">
        <v>27</v>
      </c>
      <c r="B90" s="22" t="s">
        <v>28</v>
      </c>
      <c r="C90" s="99"/>
      <c r="D90" s="2"/>
      <c r="E90" s="4"/>
      <c r="F90" s="2"/>
      <c r="G90" s="2"/>
    </row>
    <row r="91" spans="1:8" x14ac:dyDescent="0.25">
      <c r="A91" s="97"/>
      <c r="B91" s="7" t="s">
        <v>29</v>
      </c>
      <c r="C91" s="34">
        <f>SUM(D91:G91)</f>
        <v>2705260</v>
      </c>
      <c r="D91" s="2">
        <v>1203260</v>
      </c>
      <c r="E91" s="2">
        <f>1519920-49920</f>
        <v>1470000</v>
      </c>
      <c r="F91" s="2">
        <v>32000</v>
      </c>
      <c r="G91" s="2"/>
    </row>
    <row r="92" spans="1:8" x14ac:dyDescent="0.25">
      <c r="A92" s="49"/>
      <c r="B92" s="7" t="s">
        <v>118</v>
      </c>
      <c r="C92" s="34">
        <f>SUM(D92:G92)</f>
        <v>90000</v>
      </c>
      <c r="D92" s="2"/>
      <c r="E92" s="4">
        <v>90000</v>
      </c>
      <c r="F92" s="2"/>
      <c r="G92" s="2"/>
    </row>
    <row r="93" spans="1:8" x14ac:dyDescent="0.25">
      <c r="A93" s="49"/>
      <c r="B93" s="9" t="s">
        <v>140</v>
      </c>
      <c r="C93" s="34">
        <f t="shared" ref="C93:C96" si="7">SUM(D93:G93)</f>
        <v>400000</v>
      </c>
      <c r="D93" s="2"/>
      <c r="E93" s="4">
        <v>400000</v>
      </c>
      <c r="F93" s="2"/>
      <c r="G93" s="2"/>
    </row>
    <row r="94" spans="1:8" x14ac:dyDescent="0.25">
      <c r="A94" s="3"/>
      <c r="B94" s="7" t="s">
        <v>30</v>
      </c>
      <c r="C94" s="34">
        <f t="shared" si="7"/>
        <v>72990</v>
      </c>
      <c r="D94" s="2"/>
      <c r="E94" s="4">
        <v>72990</v>
      </c>
      <c r="F94" s="2"/>
      <c r="G94" s="2"/>
    </row>
    <row r="95" spans="1:8" x14ac:dyDescent="0.25">
      <c r="A95" s="3"/>
      <c r="B95" s="7" t="s">
        <v>112</v>
      </c>
      <c r="C95" s="34">
        <f t="shared" si="7"/>
        <v>51809</v>
      </c>
      <c r="D95" s="2">
        <v>43609</v>
      </c>
      <c r="E95" s="4">
        <v>8200</v>
      </c>
      <c r="F95" s="2"/>
      <c r="G95" s="2"/>
    </row>
    <row r="96" spans="1:8" ht="15.75" thickBot="1" x14ac:dyDescent="0.3">
      <c r="A96" s="3"/>
      <c r="B96" s="7" t="s">
        <v>70</v>
      </c>
      <c r="C96" s="34">
        <f t="shared" si="7"/>
        <v>30000</v>
      </c>
      <c r="D96" s="2"/>
      <c r="E96" s="4">
        <v>30000</v>
      </c>
      <c r="F96" s="2"/>
      <c r="G96" s="2"/>
    </row>
    <row r="97" spans="1:7" ht="16.5" thickTop="1" thickBot="1" x14ac:dyDescent="0.3">
      <c r="A97" s="100"/>
      <c r="B97" s="89" t="s">
        <v>14</v>
      </c>
      <c r="C97" s="94">
        <f>SUM(C91:C96)</f>
        <v>3350059</v>
      </c>
      <c r="D97" s="94">
        <f>SUM(D91:D96)</f>
        <v>1246869</v>
      </c>
      <c r="E97" s="94">
        <f>SUM(E91:E96)</f>
        <v>2071190</v>
      </c>
      <c r="F97" s="95">
        <f>SUM(F91:F96)</f>
        <v>32000</v>
      </c>
      <c r="G97" s="95">
        <f>SUM(G91:G96)</f>
        <v>0</v>
      </c>
    </row>
    <row r="98" spans="1:7" ht="38.25" thickTop="1" x14ac:dyDescent="0.25">
      <c r="A98" s="83" t="s">
        <v>31</v>
      </c>
      <c r="B98" s="14" t="s">
        <v>32</v>
      </c>
      <c r="C98" s="101"/>
      <c r="D98" s="2"/>
      <c r="E98" s="4"/>
      <c r="F98" s="2"/>
      <c r="G98" s="2"/>
    </row>
    <row r="99" spans="1:7" x14ac:dyDescent="0.25">
      <c r="A99" s="3"/>
      <c r="B99" s="24" t="s">
        <v>33</v>
      </c>
      <c r="C99" s="2"/>
      <c r="D99" s="2"/>
      <c r="E99" s="4"/>
      <c r="F99" s="2"/>
      <c r="G99" s="2"/>
    </row>
    <row r="100" spans="1:7" x14ac:dyDescent="0.25">
      <c r="A100" s="3"/>
      <c r="B100" s="7" t="s">
        <v>35</v>
      </c>
      <c r="C100" s="1">
        <f>SUM(D100:G100)</f>
        <v>300000</v>
      </c>
      <c r="D100" s="2"/>
      <c r="E100" s="39">
        <v>300000</v>
      </c>
      <c r="F100" s="2"/>
      <c r="G100" s="2"/>
    </row>
    <row r="101" spans="1:7" x14ac:dyDescent="0.25">
      <c r="A101" s="3"/>
      <c r="B101" s="24" t="s">
        <v>34</v>
      </c>
      <c r="C101" s="1">
        <f t="shared" ref="C101:G101" si="8">SUM(C102:C106)</f>
        <v>4697000</v>
      </c>
      <c r="D101" s="1">
        <f t="shared" si="8"/>
        <v>0</v>
      </c>
      <c r="E101" s="39">
        <f t="shared" si="8"/>
        <v>4697000</v>
      </c>
      <c r="F101" s="1">
        <f t="shared" si="8"/>
        <v>0</v>
      </c>
      <c r="G101" s="1">
        <f t="shared" si="8"/>
        <v>0</v>
      </c>
    </row>
    <row r="102" spans="1:7" x14ac:dyDescent="0.25">
      <c r="A102" s="3"/>
      <c r="B102" s="7" t="s">
        <v>35</v>
      </c>
      <c r="C102" s="1">
        <f>SUM(D102:G102)</f>
        <v>4400000</v>
      </c>
      <c r="D102" s="2"/>
      <c r="E102" s="2">
        <f>4200000+200000</f>
        <v>4400000</v>
      </c>
      <c r="F102" s="2"/>
      <c r="G102" s="2"/>
    </row>
    <row r="103" spans="1:7" x14ac:dyDescent="0.25">
      <c r="A103" s="3"/>
      <c r="B103" s="7" t="s">
        <v>36</v>
      </c>
      <c r="C103" s="1">
        <f t="shared" ref="C103:C110" si="9">SUM(D103:G103)</f>
        <v>92000</v>
      </c>
      <c r="D103" s="2"/>
      <c r="E103" s="2">
        <v>92000</v>
      </c>
      <c r="F103" s="2"/>
      <c r="G103" s="2"/>
    </row>
    <row r="104" spans="1:7" x14ac:dyDescent="0.25">
      <c r="A104" s="3"/>
      <c r="B104" s="7" t="s">
        <v>37</v>
      </c>
      <c r="C104" s="1">
        <f t="shared" si="9"/>
        <v>90000</v>
      </c>
      <c r="D104" s="2"/>
      <c r="E104" s="2">
        <v>90000</v>
      </c>
      <c r="F104" s="2"/>
      <c r="G104" s="2"/>
    </row>
    <row r="105" spans="1:7" x14ac:dyDescent="0.25">
      <c r="A105" s="3"/>
      <c r="B105" s="7" t="s">
        <v>38</v>
      </c>
      <c r="C105" s="1">
        <f t="shared" si="9"/>
        <v>60000</v>
      </c>
      <c r="D105" s="2"/>
      <c r="E105" s="2">
        <v>60000</v>
      </c>
      <c r="F105" s="2"/>
      <c r="G105" s="2"/>
    </row>
    <row r="106" spans="1:7" x14ac:dyDescent="0.25">
      <c r="A106" s="3"/>
      <c r="B106" s="7" t="s">
        <v>39</v>
      </c>
      <c r="C106" s="1">
        <f t="shared" si="9"/>
        <v>55000</v>
      </c>
      <c r="D106" s="2"/>
      <c r="E106" s="2">
        <v>55000</v>
      </c>
      <c r="F106" s="2"/>
      <c r="G106" s="2"/>
    </row>
    <row r="107" spans="1:7" ht="29.25" x14ac:dyDescent="0.25">
      <c r="A107" s="3"/>
      <c r="B107" s="6" t="s">
        <v>149</v>
      </c>
      <c r="C107" s="1">
        <f t="shared" si="9"/>
        <v>67836</v>
      </c>
      <c r="D107" s="2"/>
      <c r="E107" s="1">
        <v>67836</v>
      </c>
      <c r="F107" s="2"/>
      <c r="G107" s="2"/>
    </row>
    <row r="108" spans="1:7" x14ac:dyDescent="0.25">
      <c r="A108" s="3"/>
      <c r="B108" s="25" t="s">
        <v>40</v>
      </c>
      <c r="C108" s="1">
        <f t="shared" si="9"/>
        <v>8057600</v>
      </c>
      <c r="D108" s="1"/>
      <c r="E108" s="1">
        <f>7557600-1028539+500000</f>
        <v>7029061</v>
      </c>
      <c r="F108" s="2"/>
      <c r="G108" s="2">
        <f>1028539</f>
        <v>1028539</v>
      </c>
    </row>
    <row r="109" spans="1:7" x14ac:dyDescent="0.25">
      <c r="A109" s="3"/>
      <c r="B109" s="25" t="s">
        <v>152</v>
      </c>
      <c r="C109" s="1">
        <f t="shared" si="9"/>
        <v>654179</v>
      </c>
      <c r="D109" s="1"/>
      <c r="E109" s="1"/>
      <c r="F109" s="2"/>
      <c r="G109" s="2">
        <f>654179</f>
        <v>654179</v>
      </c>
    </row>
    <row r="110" spans="1:7" x14ac:dyDescent="0.25">
      <c r="A110" s="3"/>
      <c r="B110" s="25" t="s">
        <v>137</v>
      </c>
      <c r="C110" s="1">
        <f t="shared" si="9"/>
        <v>4701074</v>
      </c>
      <c r="D110" s="1"/>
      <c r="E110" s="39">
        <f>12000000+601074+100000-8000000</f>
        <v>4701074</v>
      </c>
      <c r="F110" s="1"/>
      <c r="G110" s="1"/>
    </row>
    <row r="111" spans="1:7" x14ac:dyDescent="0.25">
      <c r="A111" s="3"/>
      <c r="B111" s="25" t="s">
        <v>155</v>
      </c>
      <c r="C111" s="1">
        <f>SUM(D111:G111)</f>
        <v>450000</v>
      </c>
      <c r="D111" s="2"/>
      <c r="E111" s="39">
        <v>450000</v>
      </c>
      <c r="F111" s="2"/>
      <c r="G111" s="2"/>
    </row>
    <row r="112" spans="1:7" ht="29.25" x14ac:dyDescent="0.25">
      <c r="A112" s="3"/>
      <c r="B112" s="25" t="s">
        <v>121</v>
      </c>
      <c r="C112" s="1">
        <f>SUM(D112:G112)</f>
        <v>201600</v>
      </c>
      <c r="D112" s="1">
        <f>SUM(D113:D117)</f>
        <v>0</v>
      </c>
      <c r="E112" s="1">
        <f>SUM(E113:E117)</f>
        <v>201600</v>
      </c>
      <c r="F112" s="1">
        <f>SUM(F113:F117)</f>
        <v>0</v>
      </c>
      <c r="G112" s="1">
        <f>SUM(G113:G117)</f>
        <v>0</v>
      </c>
    </row>
    <row r="113" spans="1:15" x14ac:dyDescent="0.25">
      <c r="A113" s="3"/>
      <c r="B113" s="7" t="s">
        <v>35</v>
      </c>
      <c r="C113" s="1">
        <f t="shared" ref="C113:C123" si="10">SUM(D113:G113)</f>
        <v>180000</v>
      </c>
      <c r="D113" s="2"/>
      <c r="E113" s="2">
        <f>140000+40000</f>
        <v>180000</v>
      </c>
      <c r="F113" s="2"/>
      <c r="G113" s="2"/>
    </row>
    <row r="114" spans="1:15" x14ac:dyDescent="0.25">
      <c r="A114" s="3"/>
      <c r="B114" s="7" t="s">
        <v>36</v>
      </c>
      <c r="C114" s="1">
        <f t="shared" si="10"/>
        <v>5600</v>
      </c>
      <c r="D114" s="2"/>
      <c r="E114" s="2">
        <v>5600</v>
      </c>
      <c r="F114" s="2"/>
      <c r="G114" s="2"/>
    </row>
    <row r="115" spans="1:15" x14ac:dyDescent="0.25">
      <c r="A115" s="3"/>
      <c r="B115" s="7" t="s">
        <v>37</v>
      </c>
      <c r="C115" s="1">
        <f t="shared" si="10"/>
        <v>7000</v>
      </c>
      <c r="D115" s="2"/>
      <c r="E115" s="2">
        <v>7000</v>
      </c>
      <c r="F115" s="2"/>
      <c r="G115" s="2"/>
    </row>
    <row r="116" spans="1:15" x14ac:dyDescent="0.25">
      <c r="A116" s="3"/>
      <c r="B116" s="7" t="s">
        <v>38</v>
      </c>
      <c r="C116" s="1">
        <f t="shared" si="10"/>
        <v>5000</v>
      </c>
      <c r="D116" s="2"/>
      <c r="E116" s="2">
        <v>5000</v>
      </c>
      <c r="F116" s="2"/>
      <c r="G116" s="2"/>
    </row>
    <row r="117" spans="1:15" x14ac:dyDescent="0.25">
      <c r="A117" s="3"/>
      <c r="B117" s="7" t="s">
        <v>39</v>
      </c>
      <c r="C117" s="1">
        <f t="shared" si="10"/>
        <v>4000</v>
      </c>
      <c r="D117" s="1"/>
      <c r="E117" s="2">
        <v>4000</v>
      </c>
      <c r="F117" s="1"/>
      <c r="G117" s="1"/>
    </row>
    <row r="118" spans="1:15" ht="29.25" x14ac:dyDescent="0.25">
      <c r="A118" s="102"/>
      <c r="B118" s="6" t="s">
        <v>136</v>
      </c>
      <c r="C118" s="1">
        <f t="shared" si="10"/>
        <v>30000</v>
      </c>
      <c r="D118" s="2"/>
      <c r="E118" s="39">
        <f>50000-20000</f>
        <v>30000</v>
      </c>
      <c r="F118" s="2"/>
      <c r="G118" s="2"/>
    </row>
    <row r="119" spans="1:15" ht="29.25" x14ac:dyDescent="0.25">
      <c r="A119" s="102"/>
      <c r="B119" s="6" t="s">
        <v>147</v>
      </c>
      <c r="C119" s="1">
        <f t="shared" si="10"/>
        <v>550000</v>
      </c>
      <c r="D119" s="2"/>
      <c r="E119" s="39">
        <f>150000+400000</f>
        <v>550000</v>
      </c>
      <c r="F119" s="2"/>
      <c r="G119" s="2"/>
    </row>
    <row r="120" spans="1:15" ht="28.5" x14ac:dyDescent="0.25">
      <c r="A120" s="3"/>
      <c r="B120" s="26" t="s">
        <v>122</v>
      </c>
      <c r="C120" s="1">
        <f t="shared" si="10"/>
        <v>499000</v>
      </c>
      <c r="D120" s="2"/>
      <c r="E120" s="39">
        <v>499000</v>
      </c>
      <c r="F120" s="2"/>
      <c r="G120" s="2"/>
    </row>
    <row r="121" spans="1:15" x14ac:dyDescent="0.25">
      <c r="A121" s="3"/>
      <c r="B121" s="6" t="s">
        <v>41</v>
      </c>
      <c r="C121" s="1">
        <f t="shared" si="10"/>
        <v>4400000</v>
      </c>
      <c r="D121" s="2"/>
      <c r="E121" s="39">
        <f>4500000-100000-200000+200000</f>
        <v>4400000</v>
      </c>
      <c r="F121" s="2"/>
      <c r="G121" s="2"/>
    </row>
    <row r="122" spans="1:15" x14ac:dyDescent="0.25">
      <c r="A122" s="3"/>
      <c r="B122" s="6" t="s">
        <v>65</v>
      </c>
      <c r="C122" s="1">
        <f t="shared" si="10"/>
        <v>4885995</v>
      </c>
      <c r="D122" s="1">
        <v>2080995</v>
      </c>
      <c r="E122" s="39">
        <f>3004740-204740</f>
        <v>2800000</v>
      </c>
      <c r="F122" s="1">
        <v>5000</v>
      </c>
      <c r="G122" s="2"/>
      <c r="H122" s="5"/>
      <c r="I122" s="5"/>
      <c r="J122" s="5"/>
      <c r="K122" s="5"/>
      <c r="L122" s="5"/>
      <c r="M122" s="5"/>
      <c r="N122" s="5"/>
      <c r="O122" s="5"/>
    </row>
    <row r="123" spans="1:15" s="5" customFormat="1" x14ac:dyDescent="0.25">
      <c r="A123" s="3"/>
      <c r="B123" s="6" t="s">
        <v>153</v>
      </c>
      <c r="C123" s="1">
        <f t="shared" si="10"/>
        <v>2124289</v>
      </c>
      <c r="D123" s="2"/>
      <c r="E123" s="4"/>
      <c r="F123" s="2"/>
      <c r="G123" s="2">
        <v>2124289</v>
      </c>
    </row>
    <row r="124" spans="1:15" s="5" customFormat="1" ht="15.75" thickBot="1" x14ac:dyDescent="0.3">
      <c r="A124" s="3"/>
      <c r="B124" s="27" t="s">
        <v>42</v>
      </c>
      <c r="C124" s="1">
        <f t="shared" ref="C124" si="11">SUM(D124:G124)</f>
        <v>18577262</v>
      </c>
      <c r="D124" s="2"/>
      <c r="E124" s="4">
        <f>25480403+1490000-C122-5905200</f>
        <v>16179208</v>
      </c>
      <c r="F124" s="12"/>
      <c r="G124" s="12">
        <v>2398054</v>
      </c>
    </row>
    <row r="125" spans="1:15" s="5" customFormat="1" ht="16.5" thickTop="1" thickBot="1" x14ac:dyDescent="0.3">
      <c r="A125" s="100"/>
      <c r="B125" s="103" t="s">
        <v>14</v>
      </c>
      <c r="C125" s="94">
        <f>SUM(C100+C101+C108+C109+C110+C111+C112++C119+C120+C121+C123+C124+C122+C118+C107)</f>
        <v>50195835</v>
      </c>
      <c r="D125" s="94">
        <f t="shared" ref="D125" si="12">SUM(D100+D101+D108+D109+D110+D111+D112++D119+D120+D121+D123+D124+D122+D118)</f>
        <v>2080995</v>
      </c>
      <c r="E125" s="94">
        <f>SUM(E100+E101+E108+E109+E110+E111+E112++E119+E120+E121+E123+E124+E122+E118+E107)</f>
        <v>41904779</v>
      </c>
      <c r="F125" s="94">
        <f t="shared" ref="F125:G125" si="13">SUM(F100+F101+F108+F109+F110+F111+F112++F119+F120+F121+F123+F124+F122+F118)</f>
        <v>5000</v>
      </c>
      <c r="G125" s="104">
        <f t="shared" si="13"/>
        <v>6205061</v>
      </c>
    </row>
    <row r="126" spans="1:15" s="5" customFormat="1" ht="16.5" customHeight="1" thickTop="1" x14ac:dyDescent="0.25">
      <c r="A126" s="105" t="s">
        <v>43</v>
      </c>
      <c r="B126" s="14" t="s">
        <v>139</v>
      </c>
      <c r="C126" s="92"/>
      <c r="D126" s="2"/>
      <c r="E126" s="4"/>
      <c r="F126" s="106"/>
      <c r="G126" s="106"/>
      <c r="H126" s="8"/>
      <c r="I126" s="8"/>
      <c r="J126" s="8"/>
      <c r="K126" s="8"/>
      <c r="L126" s="8"/>
      <c r="M126" s="8"/>
      <c r="N126" s="8"/>
      <c r="O126" s="8"/>
    </row>
    <row r="127" spans="1:15" x14ac:dyDescent="0.25">
      <c r="A127" s="3"/>
      <c r="B127" s="6" t="s">
        <v>44</v>
      </c>
      <c r="C127" s="34">
        <f t="shared" ref="C127:G127" si="14">SUM(C128:C129)</f>
        <v>1700000</v>
      </c>
      <c r="D127" s="1">
        <f t="shared" si="14"/>
        <v>0</v>
      </c>
      <c r="E127" s="39">
        <f t="shared" si="14"/>
        <v>1700000</v>
      </c>
      <c r="F127" s="1">
        <f t="shared" si="14"/>
        <v>0</v>
      </c>
      <c r="G127" s="1">
        <f t="shared" si="14"/>
        <v>0</v>
      </c>
    </row>
    <row r="128" spans="1:15" x14ac:dyDescent="0.25">
      <c r="A128" s="3"/>
      <c r="B128" s="7" t="s">
        <v>111</v>
      </c>
      <c r="C128" s="34">
        <f>SUM(D128:G128)</f>
        <v>519500</v>
      </c>
      <c r="D128" s="2"/>
      <c r="E128" s="4">
        <f>486500+3000+30000</f>
        <v>519500</v>
      </c>
      <c r="F128" s="2"/>
      <c r="G128" s="2"/>
    </row>
    <row r="129" spans="1:7" x14ac:dyDescent="0.25">
      <c r="A129" s="3"/>
      <c r="B129" s="7" t="s">
        <v>45</v>
      </c>
      <c r="C129" s="34">
        <f t="shared" ref="C129:C131" si="15">SUM(D129:G129)</f>
        <v>1180500</v>
      </c>
      <c r="D129" s="2"/>
      <c r="E129" s="4">
        <f>910500+300000-30000</f>
        <v>1180500</v>
      </c>
      <c r="F129" s="2"/>
      <c r="G129" s="2"/>
    </row>
    <row r="130" spans="1:7" x14ac:dyDescent="0.25">
      <c r="A130" s="3"/>
      <c r="B130" s="7" t="s">
        <v>135</v>
      </c>
      <c r="C130" s="34">
        <f t="shared" si="15"/>
        <v>1647252</v>
      </c>
      <c r="D130" s="2">
        <v>779252</v>
      </c>
      <c r="E130" s="4">
        <f>966000-106000</f>
        <v>860000</v>
      </c>
      <c r="F130" s="2">
        <v>8000</v>
      </c>
      <c r="G130" s="2"/>
    </row>
    <row r="131" spans="1:7" x14ac:dyDescent="0.25">
      <c r="A131" s="3"/>
      <c r="B131" s="7" t="s">
        <v>104</v>
      </c>
      <c r="C131" s="34">
        <f t="shared" si="15"/>
        <v>843766</v>
      </c>
      <c r="D131" s="2">
        <v>803384</v>
      </c>
      <c r="E131" s="4">
        <v>28000</v>
      </c>
      <c r="F131" s="2">
        <v>12382</v>
      </c>
      <c r="G131" s="2"/>
    </row>
    <row r="132" spans="1:7" x14ac:dyDescent="0.25">
      <c r="A132" s="3"/>
      <c r="B132" s="6" t="s">
        <v>46</v>
      </c>
      <c r="C132" s="1">
        <f t="shared" ref="C132:G132" si="16">SUM(C133:C139)</f>
        <v>8439420</v>
      </c>
      <c r="D132" s="1">
        <f t="shared" si="16"/>
        <v>3554106</v>
      </c>
      <c r="E132" s="1">
        <f t="shared" si="16"/>
        <v>4854400</v>
      </c>
      <c r="F132" s="1">
        <f t="shared" si="16"/>
        <v>30914</v>
      </c>
      <c r="G132" s="1">
        <f t="shared" si="16"/>
        <v>0</v>
      </c>
    </row>
    <row r="133" spans="1:7" x14ac:dyDescent="0.25">
      <c r="A133" s="3"/>
      <c r="B133" s="7" t="s">
        <v>63</v>
      </c>
      <c r="C133" s="34">
        <f t="shared" ref="C133:C139" si="17">SUM(D133:G133)</f>
        <v>3513551</v>
      </c>
      <c r="D133" s="2">
        <v>1958173</v>
      </c>
      <c r="E133" s="4">
        <f>1923900-273900-100000</f>
        <v>1550000</v>
      </c>
      <c r="F133" s="2">
        <v>5378</v>
      </c>
      <c r="G133" s="2"/>
    </row>
    <row r="134" spans="1:7" x14ac:dyDescent="0.25">
      <c r="A134" s="3"/>
      <c r="B134" s="7" t="s">
        <v>69</v>
      </c>
      <c r="C134" s="34">
        <f t="shared" si="17"/>
        <v>2418350</v>
      </c>
      <c r="D134" s="2">
        <v>922814</v>
      </c>
      <c r="E134" s="4">
        <f>1579586-259586+150000</f>
        <v>1470000</v>
      </c>
      <c r="F134" s="2">
        <v>25536</v>
      </c>
      <c r="G134" s="2"/>
    </row>
    <row r="135" spans="1:7" x14ac:dyDescent="0.25">
      <c r="A135" s="3"/>
      <c r="B135" s="7" t="s">
        <v>47</v>
      </c>
      <c r="C135" s="34">
        <f t="shared" si="17"/>
        <v>444684</v>
      </c>
      <c r="D135" s="2">
        <v>224684</v>
      </c>
      <c r="E135" s="4">
        <v>220000</v>
      </c>
      <c r="F135" s="2"/>
      <c r="G135" s="2"/>
    </row>
    <row r="136" spans="1:7" x14ac:dyDescent="0.25">
      <c r="A136" s="3"/>
      <c r="B136" s="7" t="s">
        <v>48</v>
      </c>
      <c r="C136" s="34">
        <f t="shared" si="17"/>
        <v>81263</v>
      </c>
      <c r="D136" s="2">
        <v>32963</v>
      </c>
      <c r="E136" s="4">
        <f>28300+20000</f>
        <v>48300</v>
      </c>
      <c r="F136" s="2"/>
      <c r="G136" s="2"/>
    </row>
    <row r="137" spans="1:7" x14ac:dyDescent="0.25">
      <c r="A137" s="3"/>
      <c r="B137" s="7" t="s">
        <v>49</v>
      </c>
      <c r="C137" s="34">
        <f t="shared" si="17"/>
        <v>226784</v>
      </c>
      <c r="D137" s="2">
        <v>112684</v>
      </c>
      <c r="E137" s="4">
        <v>114100</v>
      </c>
      <c r="F137" s="2"/>
      <c r="G137" s="2"/>
    </row>
    <row r="138" spans="1:7" x14ac:dyDescent="0.25">
      <c r="A138" s="3"/>
      <c r="B138" s="7" t="s">
        <v>105</v>
      </c>
      <c r="C138" s="34">
        <f t="shared" si="17"/>
        <v>287989</v>
      </c>
      <c r="D138" s="2">
        <v>145989</v>
      </c>
      <c r="E138" s="4">
        <v>142000</v>
      </c>
      <c r="F138" s="2"/>
      <c r="G138" s="2"/>
    </row>
    <row r="139" spans="1:7" ht="15.75" thickBot="1" x14ac:dyDescent="0.3">
      <c r="A139" s="3"/>
      <c r="B139" s="7" t="s">
        <v>50</v>
      </c>
      <c r="C139" s="34">
        <f t="shared" si="17"/>
        <v>1466799</v>
      </c>
      <c r="D139" s="2">
        <v>156799</v>
      </c>
      <c r="E139" s="2">
        <f>1170000+140000</f>
        <v>1310000</v>
      </c>
      <c r="F139" s="2"/>
      <c r="G139" s="2"/>
    </row>
    <row r="140" spans="1:7" ht="16.5" thickTop="1" thickBot="1" x14ac:dyDescent="0.3">
      <c r="A140" s="100"/>
      <c r="B140" s="89" t="s">
        <v>14</v>
      </c>
      <c r="C140" s="94">
        <f>SUM(C127+C131+C130+C132)</f>
        <v>12630438</v>
      </c>
      <c r="D140" s="94">
        <f>SUM(D127+D131+D130+D132)</f>
        <v>5136742</v>
      </c>
      <c r="E140" s="94">
        <f>SUM(E127+E131+E130+E132)</f>
        <v>7442400</v>
      </c>
      <c r="F140" s="94">
        <f t="shared" ref="F140:G140" si="18">SUM(F127+F131+F130+F132)</f>
        <v>51296</v>
      </c>
      <c r="G140" s="95">
        <f t="shared" si="18"/>
        <v>0</v>
      </c>
    </row>
    <row r="141" spans="1:7" ht="19.5" thickTop="1" x14ac:dyDescent="0.25">
      <c r="A141" s="105" t="s">
        <v>51</v>
      </c>
      <c r="B141" s="14" t="s">
        <v>52</v>
      </c>
      <c r="C141" s="92"/>
      <c r="D141" s="2"/>
      <c r="E141" s="4"/>
      <c r="F141" s="101"/>
      <c r="G141" s="101"/>
    </row>
    <row r="142" spans="1:7" ht="28.5" x14ac:dyDescent="0.25">
      <c r="A142" s="105"/>
      <c r="B142" s="28" t="s">
        <v>68</v>
      </c>
      <c r="C142" s="34">
        <f>SUM(D142:G142)</f>
        <v>484725</v>
      </c>
      <c r="D142" s="2"/>
      <c r="E142" s="4">
        <v>178900</v>
      </c>
      <c r="F142" s="2"/>
      <c r="G142" s="2">
        <f>71878+233947</f>
        <v>305825</v>
      </c>
    </row>
    <row r="143" spans="1:7" ht="29.25" x14ac:dyDescent="0.25">
      <c r="A143" s="105"/>
      <c r="B143" s="25" t="s">
        <v>141</v>
      </c>
      <c r="C143" s="34">
        <f>SUM(D143:G143)</f>
        <v>296700</v>
      </c>
      <c r="D143" s="2"/>
      <c r="E143" s="4">
        <v>296700</v>
      </c>
      <c r="F143" s="2"/>
      <c r="G143" s="2"/>
    </row>
    <row r="144" spans="1:7" x14ac:dyDescent="0.25">
      <c r="A144" s="3"/>
      <c r="B144" s="6" t="s">
        <v>157</v>
      </c>
      <c r="C144" s="34">
        <f>SUM(D144:G144)</f>
        <v>5607663</v>
      </c>
      <c r="D144" s="2">
        <v>2980663</v>
      </c>
      <c r="E144" s="4">
        <f>3142100-542100</f>
        <v>2600000</v>
      </c>
      <c r="F144" s="2">
        <v>27000</v>
      </c>
      <c r="G144" s="2"/>
    </row>
    <row r="145" spans="1:7" ht="29.25" x14ac:dyDescent="0.25">
      <c r="A145" s="97"/>
      <c r="B145" s="29" t="s">
        <v>151</v>
      </c>
      <c r="C145" s="34">
        <f>SUM(D145:G145)</f>
        <v>73478</v>
      </c>
      <c r="D145" s="2"/>
      <c r="E145" s="4"/>
      <c r="F145" s="2"/>
      <c r="G145" s="2">
        <v>73478</v>
      </c>
    </row>
    <row r="146" spans="1:7" x14ac:dyDescent="0.25">
      <c r="A146" s="105"/>
      <c r="B146" s="28" t="s">
        <v>53</v>
      </c>
      <c r="C146" s="34">
        <f>SUM(D146:G146)</f>
        <v>165066</v>
      </c>
      <c r="D146" s="2">
        <v>93066</v>
      </c>
      <c r="E146" s="2">
        <v>72000</v>
      </c>
      <c r="F146" s="2"/>
      <c r="G146" s="2"/>
    </row>
    <row r="147" spans="1:7" x14ac:dyDescent="0.25">
      <c r="A147" s="3"/>
      <c r="B147" s="6" t="s">
        <v>54</v>
      </c>
      <c r="C147" s="34">
        <f t="shared" ref="C147:G147" si="19">SUM(C148:C152)</f>
        <v>9301478</v>
      </c>
      <c r="D147" s="1">
        <f t="shared" si="19"/>
        <v>3558856</v>
      </c>
      <c r="E147" s="39">
        <f t="shared" si="19"/>
        <v>5668622</v>
      </c>
      <c r="F147" s="1">
        <f t="shared" si="19"/>
        <v>74000</v>
      </c>
      <c r="G147" s="1">
        <f t="shared" si="19"/>
        <v>0</v>
      </c>
    </row>
    <row r="148" spans="1:7" x14ac:dyDescent="0.25">
      <c r="A148" s="3"/>
      <c r="B148" s="7" t="s">
        <v>55</v>
      </c>
      <c r="C148" s="34">
        <f>SUM(D148:G148)</f>
        <v>8469402</v>
      </c>
      <c r="D148" s="2">
        <v>3495402</v>
      </c>
      <c r="E148" s="4">
        <f>5280200-380200</f>
        <v>4900000</v>
      </c>
      <c r="F148" s="2">
        <v>74000</v>
      </c>
      <c r="G148" s="2"/>
    </row>
    <row r="149" spans="1:7" x14ac:dyDescent="0.25">
      <c r="A149" s="3"/>
      <c r="B149" s="7" t="s">
        <v>159</v>
      </c>
      <c r="C149" s="34">
        <f t="shared" ref="C149:C152" si="20">SUM(D149:G149)</f>
        <v>66954</v>
      </c>
      <c r="D149" s="2">
        <v>63454</v>
      </c>
      <c r="E149" s="2">
        <v>3500</v>
      </c>
      <c r="F149" s="2"/>
      <c r="G149" s="2"/>
    </row>
    <row r="150" spans="1:7" x14ac:dyDescent="0.25">
      <c r="A150" s="3"/>
      <c r="B150" s="7" t="s">
        <v>56</v>
      </c>
      <c r="C150" s="34">
        <f t="shared" si="20"/>
        <v>530000</v>
      </c>
      <c r="D150" s="2"/>
      <c r="E150" s="2">
        <f>509700+20300</f>
        <v>530000</v>
      </c>
      <c r="F150" s="2"/>
      <c r="G150" s="2"/>
    </row>
    <row r="151" spans="1:7" x14ac:dyDescent="0.25">
      <c r="A151" s="3"/>
      <c r="B151" s="7" t="s">
        <v>119</v>
      </c>
      <c r="C151" s="34">
        <f t="shared" si="20"/>
        <v>60000</v>
      </c>
      <c r="D151" s="2"/>
      <c r="E151" s="2">
        <f>70000-10000</f>
        <v>60000</v>
      </c>
      <c r="F151" s="2"/>
      <c r="G151" s="2"/>
    </row>
    <row r="152" spans="1:7" x14ac:dyDescent="0.25">
      <c r="A152" s="3"/>
      <c r="B152" s="7" t="s">
        <v>57</v>
      </c>
      <c r="C152" s="34">
        <f t="shared" si="20"/>
        <v>175122</v>
      </c>
      <c r="D152" s="2"/>
      <c r="E152" s="4">
        <v>175122</v>
      </c>
      <c r="F152" s="2"/>
      <c r="G152" s="2"/>
    </row>
    <row r="153" spans="1:7" x14ac:dyDescent="0.25">
      <c r="A153" s="3"/>
      <c r="B153" s="29" t="s">
        <v>113</v>
      </c>
      <c r="C153" s="34">
        <f>SUM(C154:C159)</f>
        <v>141242</v>
      </c>
      <c r="D153" s="34">
        <f t="shared" ref="D153:G153" si="21">SUM(D154:D159)</f>
        <v>117474</v>
      </c>
      <c r="E153" s="34">
        <f t="shared" si="21"/>
        <v>13030</v>
      </c>
      <c r="F153" s="1">
        <f t="shared" si="21"/>
        <v>0</v>
      </c>
      <c r="G153" s="1">
        <f t="shared" si="21"/>
        <v>10738</v>
      </c>
    </row>
    <row r="154" spans="1:7" x14ac:dyDescent="0.25">
      <c r="A154" s="3"/>
      <c r="B154" s="7" t="s">
        <v>35</v>
      </c>
      <c r="C154" s="34">
        <f>SUM(D154:G154)</f>
        <v>104574</v>
      </c>
      <c r="D154" s="2">
        <v>94574</v>
      </c>
      <c r="E154" s="4">
        <v>10000</v>
      </c>
      <c r="F154" s="2"/>
      <c r="G154" s="2"/>
    </row>
    <row r="155" spans="1:7" x14ac:dyDescent="0.25">
      <c r="A155" s="3"/>
      <c r="B155" s="7" t="s">
        <v>36</v>
      </c>
      <c r="C155" s="34">
        <f>SUM(D155:G155)</f>
        <v>6432</v>
      </c>
      <c r="D155" s="2">
        <v>5752</v>
      </c>
      <c r="E155" s="4">
        <v>680</v>
      </c>
      <c r="F155" s="2"/>
      <c r="G155" s="2"/>
    </row>
    <row r="156" spans="1:7" x14ac:dyDescent="0.25">
      <c r="A156" s="3"/>
      <c r="B156" s="7" t="s">
        <v>37</v>
      </c>
      <c r="C156" s="34">
        <f t="shared" ref="C156:C159" si="22">SUM(D156:G156)</f>
        <v>6693</v>
      </c>
      <c r="D156" s="2">
        <v>5343</v>
      </c>
      <c r="E156" s="2">
        <v>1350</v>
      </c>
      <c r="F156" s="2"/>
      <c r="G156" s="2"/>
    </row>
    <row r="157" spans="1:7" x14ac:dyDescent="0.25">
      <c r="A157" s="3"/>
      <c r="B157" s="7" t="s">
        <v>38</v>
      </c>
      <c r="C157" s="34">
        <f t="shared" si="22"/>
        <v>6987</v>
      </c>
      <c r="D157" s="2">
        <v>6487</v>
      </c>
      <c r="E157" s="2">
        <v>500</v>
      </c>
      <c r="F157" s="2"/>
      <c r="G157" s="2"/>
    </row>
    <row r="158" spans="1:7" x14ac:dyDescent="0.25">
      <c r="A158" s="3"/>
      <c r="B158" s="7" t="s">
        <v>39</v>
      </c>
      <c r="C158" s="34">
        <f t="shared" si="22"/>
        <v>5818</v>
      </c>
      <c r="D158" s="2">
        <v>5318</v>
      </c>
      <c r="E158" s="2">
        <v>500</v>
      </c>
      <c r="F158" s="2"/>
      <c r="G158" s="2"/>
    </row>
    <row r="159" spans="1:7" ht="15.75" thickBot="1" x14ac:dyDescent="0.3">
      <c r="A159" s="3"/>
      <c r="B159" s="7" t="s">
        <v>138</v>
      </c>
      <c r="C159" s="34">
        <f t="shared" si="22"/>
        <v>10738</v>
      </c>
      <c r="D159" s="2"/>
      <c r="E159" s="51"/>
      <c r="F159" s="51"/>
      <c r="G159" s="51">
        <v>10738</v>
      </c>
    </row>
    <row r="160" spans="1:7" ht="16.5" thickTop="1" thickBot="1" x14ac:dyDescent="0.3">
      <c r="A160" s="100"/>
      <c r="B160" s="89" t="s">
        <v>14</v>
      </c>
      <c r="C160" s="94">
        <f t="shared" ref="C160:D160" si="23">C142+C143+C144+C145+C146+C147+C153</f>
        <v>16070352</v>
      </c>
      <c r="D160" s="94">
        <f t="shared" si="23"/>
        <v>6750059</v>
      </c>
      <c r="E160" s="94">
        <f>E142+E143+E144+E145+E146+E147+E153</f>
        <v>8829252</v>
      </c>
      <c r="F160" s="94">
        <f t="shared" ref="F160:G160" si="24">F142+F143+F144+F145+F146+F147+F153</f>
        <v>101000</v>
      </c>
      <c r="G160" s="95">
        <f t="shared" si="24"/>
        <v>390041</v>
      </c>
    </row>
    <row r="161" spans="1:8" ht="15.75" thickTop="1" x14ac:dyDescent="0.25">
      <c r="A161" s="97" t="s">
        <v>58</v>
      </c>
      <c r="B161" s="30" t="s">
        <v>59</v>
      </c>
      <c r="C161" s="34">
        <f>SUM(D161:G161)</f>
        <v>796750</v>
      </c>
      <c r="D161" s="2"/>
      <c r="E161" s="39">
        <v>796750</v>
      </c>
      <c r="F161" s="1"/>
      <c r="G161" s="1"/>
    </row>
    <row r="162" spans="1:8" x14ac:dyDescent="0.25">
      <c r="A162" s="3"/>
      <c r="B162" s="31" t="s">
        <v>127</v>
      </c>
      <c r="C162" s="34">
        <f>SUM(D162:G162)</f>
        <v>4486765</v>
      </c>
      <c r="D162" s="1">
        <f>2444451+199638</f>
        <v>2644089</v>
      </c>
      <c r="E162" s="42">
        <f>608108+75000+1000000+15000</f>
        <v>1698108</v>
      </c>
      <c r="F162" s="43">
        <v>116890</v>
      </c>
      <c r="G162" s="43">
        <v>27678</v>
      </c>
    </row>
    <row r="163" spans="1:8" x14ac:dyDescent="0.25">
      <c r="A163" s="3" t="s">
        <v>60</v>
      </c>
      <c r="B163" s="6" t="s">
        <v>61</v>
      </c>
      <c r="C163" s="34">
        <f t="shared" ref="C163:E163" si="25">SUM(C164:C167)</f>
        <v>52404090</v>
      </c>
      <c r="D163" s="1">
        <f t="shared" si="25"/>
        <v>0</v>
      </c>
      <c r="E163" s="39">
        <f t="shared" si="25"/>
        <v>49425415</v>
      </c>
      <c r="F163" s="1">
        <f>SUM(F164:F167)</f>
        <v>0</v>
      </c>
      <c r="G163" s="1">
        <f>SUM(G164:G167)</f>
        <v>2978675</v>
      </c>
    </row>
    <row r="164" spans="1:8" x14ac:dyDescent="0.25">
      <c r="A164" s="3"/>
      <c r="B164" s="7" t="s">
        <v>123</v>
      </c>
      <c r="C164" s="34">
        <f>SUM(D164:G164)</f>
        <v>5569767</v>
      </c>
      <c r="D164" s="2"/>
      <c r="E164" s="2">
        <f>6077758-2000000+1000000+725009-225000+320000-200000+22000-200000+50000</f>
        <v>5569767</v>
      </c>
      <c r="F164" s="1"/>
      <c r="G164" s="1"/>
      <c r="H164" s="98"/>
    </row>
    <row r="165" spans="1:8" x14ac:dyDescent="0.25">
      <c r="A165" s="3"/>
      <c r="B165" s="7" t="s">
        <v>124</v>
      </c>
      <c r="C165" s="34">
        <f t="shared" ref="C165:C167" si="26">SUM(D165:G165)</f>
        <v>2978675</v>
      </c>
      <c r="D165" s="2"/>
      <c r="E165" s="39"/>
      <c r="F165" s="1"/>
      <c r="G165" s="2">
        <f>26308+1726+226852+672989+995026+1000000+55774</f>
        <v>2978675</v>
      </c>
    </row>
    <row r="166" spans="1:8" x14ac:dyDescent="0.25">
      <c r="A166" s="3"/>
      <c r="B166" s="7" t="s">
        <v>125</v>
      </c>
      <c r="C166" s="34">
        <f t="shared" si="26"/>
        <v>41382648</v>
      </c>
      <c r="D166" s="2"/>
      <c r="E166" s="52">
        <f>1457135+3459060+4135362-601074+1-67836+8000000+25000000</f>
        <v>41382648</v>
      </c>
      <c r="F166" s="1"/>
      <c r="G166" s="1"/>
    </row>
    <row r="167" spans="1:8" ht="30.75" thickBot="1" x14ac:dyDescent="0.3">
      <c r="A167" s="3"/>
      <c r="B167" s="7" t="s">
        <v>126</v>
      </c>
      <c r="C167" s="34">
        <f t="shared" si="26"/>
        <v>2473000</v>
      </c>
      <c r="D167" s="2"/>
      <c r="E167" s="39">
        <f>2769700-296700</f>
        <v>2473000</v>
      </c>
      <c r="F167" s="1"/>
      <c r="G167" s="1"/>
    </row>
    <row r="168" spans="1:8" ht="16.5" thickTop="1" thickBot="1" x14ac:dyDescent="0.3">
      <c r="A168" s="93"/>
      <c r="B168" s="103" t="s">
        <v>62</v>
      </c>
      <c r="C168" s="94">
        <f>SUM(C21+C22+C34+C77+C89+C97+C125+C140+C160+C161+C162+C163)</f>
        <v>159414050</v>
      </c>
      <c r="D168" s="94">
        <f>SUM(D21+D22+D34+D77+D89+D97+D125+D140+D160+D161+D162+D163)</f>
        <v>17917594</v>
      </c>
      <c r="E168" s="94">
        <f>SUM(E21+E22+E34+E77+E89+E97+E125+E140+E160+E161+E162+E163)</f>
        <v>129360500</v>
      </c>
      <c r="F168" s="95">
        <f>SUM(F21+F22+F34+F77+F89+F97+F125+F140+F160+F161+F162+F163)</f>
        <v>1256186</v>
      </c>
      <c r="G168" s="95">
        <f>SUM(G21+G22+G34+G77+G89+G97+G125+G140+G160+G161+G162+G163)</f>
        <v>10879770</v>
      </c>
    </row>
    <row r="169" spans="1:8" ht="15.75" thickTop="1" x14ac:dyDescent="0.25"/>
  </sheetData>
  <mergeCells count="8">
    <mergeCell ref="A1:G1"/>
    <mergeCell ref="A2:G2"/>
    <mergeCell ref="A3:G3"/>
    <mergeCell ref="A4:G4"/>
    <mergeCell ref="A7:A8"/>
    <mergeCell ref="B7:B8"/>
    <mergeCell ref="C7:C8"/>
    <mergeCell ref="D7:G7"/>
  </mergeCells>
  <pageMargins left="0.70866141732283472" right="0.11811023622047245" top="0.74803149606299213" bottom="0.74803149606299213" header="0.31496062992125984" footer="0.31496062992125984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20ти-ок</vt:lpstr>
      <vt:lpstr>'20ти-ок'!Print_Titles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2022-03-21T11:32:07Z</dcterms:modified>
</cp:coreProperties>
</file>